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смета\все сметы и отчеты\2025-2026\"/>
    </mc:Choice>
  </mc:AlternateContent>
  <xr:revisionPtr revIDLastSave="0" documentId="13_ncr:1_{019EF512-9F93-4BB5-9345-B4C805290FA7}" xr6:coauthVersionLast="47" xr6:coauthVersionMax="47" xr10:uidLastSave="{00000000-0000-0000-0000-000000000000}"/>
  <bookViews>
    <workbookView xWindow="0" yWindow="0" windowWidth="17025" windowHeight="20880" xr2:uid="{00000000-000D-0000-FFFF-FFFF00000000}"/>
  </bookViews>
  <sheets>
    <sheet name="Исполнение" sheetId="10" r:id="rId1"/>
    <sheet name="План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1" i="10" l="1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C5" i="10"/>
  <c r="AB5" i="10"/>
  <c r="AA5" i="10"/>
  <c r="Z5" i="10"/>
  <c r="AD50" i="10"/>
  <c r="AC44" i="10"/>
  <c r="AB44" i="10"/>
  <c r="AA44" i="10"/>
  <c r="Z44" i="10"/>
  <c r="AD43" i="10"/>
  <c r="AD42" i="10"/>
  <c r="AD41" i="10"/>
  <c r="AD40" i="10"/>
  <c r="AD39" i="10"/>
  <c r="AD38" i="10"/>
  <c r="U43" i="10"/>
  <c r="Y43" i="10" s="1"/>
  <c r="U42" i="10"/>
  <c r="Y42" i="10" s="1"/>
  <c r="U41" i="10"/>
  <c r="Y41" i="10" s="1"/>
  <c r="U40" i="10"/>
  <c r="Y40" i="10" s="1"/>
  <c r="U39" i="10"/>
  <c r="V39" i="10" s="1"/>
  <c r="U38" i="10"/>
  <c r="Y38" i="10" s="1"/>
  <c r="AD33" i="10"/>
  <c r="Z34" i="10"/>
  <c r="AA34" i="10"/>
  <c r="AB34" i="10"/>
  <c r="AC34" i="10"/>
  <c r="Y31" i="10"/>
  <c r="Y30" i="10"/>
  <c r="Y25" i="10"/>
  <c r="V25" i="10"/>
  <c r="X25" i="10" s="1"/>
  <c r="Y24" i="10"/>
  <c r="V24" i="10"/>
  <c r="X24" i="10" s="1"/>
  <c r="Y18" i="10"/>
  <c r="V18" i="10"/>
  <c r="X18" i="10" s="1"/>
  <c r="Y17" i="10"/>
  <c r="V17" i="10"/>
  <c r="X17" i="10" s="1"/>
  <c r="Y16" i="10"/>
  <c r="V16" i="10"/>
  <c r="X16" i="10" s="1"/>
  <c r="Y15" i="10"/>
  <c r="V15" i="10"/>
  <c r="X15" i="10" s="1"/>
  <c r="Y14" i="10"/>
  <c r="V14" i="10"/>
  <c r="X14" i="10" s="1"/>
  <c r="V12" i="10"/>
  <c r="X12" i="10" s="1"/>
  <c r="Y11" i="10"/>
  <c r="V11" i="10"/>
  <c r="X11" i="10" s="1"/>
  <c r="Y10" i="10"/>
  <c r="V10" i="10"/>
  <c r="X10" i="10" s="1"/>
  <c r="U6" i="10"/>
  <c r="V6" i="10" s="1"/>
  <c r="U7" i="10"/>
  <c r="V7" i="10" s="1"/>
  <c r="X7" i="10" s="1"/>
  <c r="U8" i="10"/>
  <c r="Y8" i="10" s="1"/>
  <c r="U9" i="10"/>
  <c r="Y9" i="10" s="1"/>
  <c r="U10" i="10"/>
  <c r="U11" i="10"/>
  <c r="U12" i="10"/>
  <c r="Y12" i="10" s="1"/>
  <c r="U13" i="10"/>
  <c r="Y13" i="10" s="1"/>
  <c r="U14" i="10"/>
  <c r="U15" i="10"/>
  <c r="U16" i="10"/>
  <c r="U18" i="10"/>
  <c r="U19" i="10"/>
  <c r="Y19" i="10" s="1"/>
  <c r="U20" i="10"/>
  <c r="Y20" i="10" s="1"/>
  <c r="U21" i="10"/>
  <c r="Y21" i="10" s="1"/>
  <c r="U22" i="10"/>
  <c r="Y22" i="10" s="1"/>
  <c r="U23" i="10"/>
  <c r="Y23" i="10" s="1"/>
  <c r="U24" i="10"/>
  <c r="U25" i="10"/>
  <c r="U26" i="10"/>
  <c r="V26" i="10" s="1"/>
  <c r="X26" i="10" s="1"/>
  <c r="U27" i="10"/>
  <c r="Y27" i="10" s="1"/>
  <c r="U28" i="10"/>
  <c r="V28" i="10" s="1"/>
  <c r="X28" i="10" s="1"/>
  <c r="U29" i="10"/>
  <c r="Y29" i="10" s="1"/>
  <c r="U30" i="10"/>
  <c r="V30" i="10" s="1"/>
  <c r="X30" i="10" s="1"/>
  <c r="U31" i="10"/>
  <c r="V31" i="10" s="1"/>
  <c r="X31" i="10" s="1"/>
  <c r="X6" i="10" l="1"/>
  <c r="V27" i="10"/>
  <c r="X27" i="10" s="1"/>
  <c r="Y26" i="10"/>
  <c r="Y6" i="10"/>
  <c r="Y7" i="10"/>
  <c r="V9" i="10"/>
  <c r="X9" i="10" s="1"/>
  <c r="V19" i="10"/>
  <c r="X19" i="10" s="1"/>
  <c r="V29" i="10"/>
  <c r="X29" i="10" s="1"/>
  <c r="V20" i="10"/>
  <c r="X20" i="10" s="1"/>
  <c r="V8" i="10"/>
  <c r="X8" i="10" s="1"/>
  <c r="Y28" i="10"/>
  <c r="V21" i="10"/>
  <c r="X21" i="10" s="1"/>
  <c r="V22" i="10"/>
  <c r="X22" i="10" s="1"/>
  <c r="V13" i="10"/>
  <c r="X13" i="10" s="1"/>
  <c r="V23" i="10"/>
  <c r="X23" i="10" s="1"/>
  <c r="AB45" i="10"/>
  <c r="AB51" i="10" s="1"/>
  <c r="AA45" i="10"/>
  <c r="AA51" i="10" s="1"/>
  <c r="AD5" i="10"/>
  <c r="AC45" i="10"/>
  <c r="AC51" i="10" s="1"/>
  <c r="Z45" i="10"/>
  <c r="Z51" i="10" s="1"/>
  <c r="AD44" i="10"/>
  <c r="X39" i="10"/>
  <c r="W39" i="10"/>
  <c r="V38" i="10"/>
  <c r="V43" i="10"/>
  <c r="Y39" i="10"/>
  <c r="Y44" i="10" s="1"/>
  <c r="U44" i="10"/>
  <c r="V40" i="10"/>
  <c r="V42" i="10"/>
  <c r="V41" i="10"/>
  <c r="AD34" i="10"/>
  <c r="W7" i="10"/>
  <c r="W12" i="10"/>
  <c r="W17" i="10"/>
  <c r="W22" i="10"/>
  <c r="W27" i="10"/>
  <c r="W8" i="10"/>
  <c r="W18" i="10"/>
  <c r="W28" i="10"/>
  <c r="W14" i="10"/>
  <c r="W24" i="10"/>
  <c r="W29" i="10"/>
  <c r="W10" i="10"/>
  <c r="W15" i="10"/>
  <c r="W20" i="10"/>
  <c r="W25" i="10"/>
  <c r="W30" i="10"/>
  <c r="W6" i="10"/>
  <c r="W11" i="10"/>
  <c r="W16" i="10"/>
  <c r="W21" i="10"/>
  <c r="W26" i="10"/>
  <c r="W31" i="10"/>
  <c r="D24" i="9"/>
  <c r="M38" i="10"/>
  <c r="C46" i="9"/>
  <c r="W9" i="10" l="1"/>
  <c r="W19" i="10"/>
  <c r="W23" i="10"/>
  <c r="W13" i="10"/>
  <c r="AD51" i="10"/>
  <c r="AD45" i="10"/>
  <c r="X40" i="10"/>
  <c r="W40" i="10"/>
  <c r="X43" i="10"/>
  <c r="W43" i="10"/>
  <c r="V44" i="10"/>
  <c r="X38" i="10"/>
  <c r="W38" i="10"/>
  <c r="X41" i="10"/>
  <c r="W41" i="10"/>
  <c r="X42" i="10"/>
  <c r="W42" i="10"/>
  <c r="C52" i="9"/>
  <c r="E27" i="10"/>
  <c r="W44" i="10" l="1"/>
  <c r="X44" i="10"/>
  <c r="Q19" i="10"/>
  <c r="K6" i="10" l="1"/>
  <c r="Q6" i="10"/>
  <c r="E6" i="10"/>
  <c r="C53" i="9" l="1"/>
  <c r="D53" i="9" l="1"/>
  <c r="C55" i="9"/>
  <c r="D55" i="9" s="1"/>
  <c r="C54" i="9"/>
  <c r="M43" i="10"/>
  <c r="M39" i="10"/>
  <c r="M40" i="10"/>
  <c r="M41" i="10"/>
  <c r="M42" i="10"/>
  <c r="C56" i="9" l="1"/>
  <c r="D54" i="9"/>
  <c r="Q31" i="10"/>
  <c r="S31" i="10" l="1"/>
  <c r="K31" i="10"/>
  <c r="L31" i="10" s="1"/>
  <c r="E31" i="10"/>
  <c r="G31" i="10" s="1"/>
  <c r="T50" i="10"/>
  <c r="S50" i="10"/>
  <c r="R50" i="10"/>
  <c r="M50" i="10"/>
  <c r="L50" i="10"/>
  <c r="G50" i="10"/>
  <c r="U50" i="10" s="1"/>
  <c r="F50" i="10"/>
  <c r="Q28" i="10"/>
  <c r="Q26" i="10"/>
  <c r="Q25" i="10"/>
  <c r="Q24" i="10"/>
  <c r="Q23" i="10"/>
  <c r="Q22" i="10"/>
  <c r="Q21" i="10"/>
  <c r="Q20" i="10"/>
  <c r="Q15" i="10"/>
  <c r="R15" i="10" s="1"/>
  <c r="Q14" i="10"/>
  <c r="Q13" i="10"/>
  <c r="Q12" i="10"/>
  <c r="Q9" i="10"/>
  <c r="Q8" i="10"/>
  <c r="Q7" i="10"/>
  <c r="G33" i="10"/>
  <c r="U33" i="10" s="1"/>
  <c r="F33" i="10"/>
  <c r="M29" i="10"/>
  <c r="T19" i="10"/>
  <c r="S19" i="10"/>
  <c r="R19" i="10"/>
  <c r="T6" i="10"/>
  <c r="S6" i="10"/>
  <c r="R6" i="10"/>
  <c r="M6" i="10"/>
  <c r="L6" i="10"/>
  <c r="G6" i="10"/>
  <c r="F6" i="10"/>
  <c r="Y50" i="10" l="1"/>
  <c r="V50" i="10"/>
  <c r="V33" i="10"/>
  <c r="Y33" i="10"/>
  <c r="Y34" i="10" s="1"/>
  <c r="Y45" i="10" s="1"/>
  <c r="T31" i="10"/>
  <c r="F31" i="10"/>
  <c r="M31" i="10"/>
  <c r="R31" i="10"/>
  <c r="K14" i="10"/>
  <c r="E14" i="10"/>
  <c r="K7" i="10"/>
  <c r="E7" i="10"/>
  <c r="K15" i="10"/>
  <c r="L15" i="10" s="1"/>
  <c r="E15" i="10"/>
  <c r="F15" i="10" s="1"/>
  <c r="K24" i="10"/>
  <c r="E24" i="10"/>
  <c r="K23" i="10"/>
  <c r="E23" i="10"/>
  <c r="K8" i="10"/>
  <c r="E8" i="10"/>
  <c r="E16" i="10"/>
  <c r="K16" i="10"/>
  <c r="K25" i="10"/>
  <c r="E25" i="10"/>
  <c r="K30" i="10"/>
  <c r="E30" i="10"/>
  <c r="K9" i="10"/>
  <c r="E9" i="10"/>
  <c r="K20" i="10"/>
  <c r="E20" i="10"/>
  <c r="K26" i="10"/>
  <c r="E26" i="10"/>
  <c r="K12" i="10"/>
  <c r="E12" i="10"/>
  <c r="K21" i="10"/>
  <c r="E21" i="10"/>
  <c r="K28" i="10"/>
  <c r="E28" i="10"/>
  <c r="E19" i="10"/>
  <c r="K19" i="10"/>
  <c r="K13" i="10"/>
  <c r="E13" i="10"/>
  <c r="K22" i="10"/>
  <c r="E22" i="10"/>
  <c r="E29" i="10"/>
  <c r="C62" i="9"/>
  <c r="C63" i="9" s="1"/>
  <c r="D52" i="9"/>
  <c r="D56" i="9" s="1"/>
  <c r="X33" i="10" l="1"/>
  <c r="X34" i="10" s="1"/>
  <c r="X45" i="10" s="1"/>
  <c r="W33" i="10"/>
  <c r="W34" i="10" s="1"/>
  <c r="W45" i="10" s="1"/>
  <c r="V34" i="10"/>
  <c r="V45" i="10" s="1"/>
  <c r="V51" i="10"/>
  <c r="X50" i="10"/>
  <c r="X51" i="10" s="1"/>
  <c r="W50" i="10"/>
  <c r="W51" i="10" s="1"/>
  <c r="Y51" i="10"/>
  <c r="G19" i="10"/>
  <c r="M28" i="10"/>
  <c r="L28" i="10"/>
  <c r="R26" i="10"/>
  <c r="T26" i="10"/>
  <c r="S26" i="10"/>
  <c r="F30" i="10"/>
  <c r="G30" i="10"/>
  <c r="M8" i="10"/>
  <c r="L8" i="10"/>
  <c r="S15" i="10"/>
  <c r="T15" i="10"/>
  <c r="G28" i="10"/>
  <c r="F28" i="10"/>
  <c r="G26" i="10"/>
  <c r="F26" i="10"/>
  <c r="S25" i="10"/>
  <c r="R25" i="10"/>
  <c r="T25" i="10"/>
  <c r="L23" i="10"/>
  <c r="M23" i="10"/>
  <c r="G15" i="10"/>
  <c r="G22" i="10"/>
  <c r="F22" i="10"/>
  <c r="L22" i="10"/>
  <c r="M22" i="10"/>
  <c r="R28" i="10"/>
  <c r="T28" i="10"/>
  <c r="S28" i="10"/>
  <c r="G12" i="10"/>
  <c r="F12" i="10"/>
  <c r="M26" i="10"/>
  <c r="L26" i="10"/>
  <c r="G9" i="10"/>
  <c r="F9" i="10"/>
  <c r="M30" i="10"/>
  <c r="L30" i="10"/>
  <c r="M16" i="10"/>
  <c r="L16" i="10"/>
  <c r="F24" i="10"/>
  <c r="G24" i="10"/>
  <c r="M15" i="10"/>
  <c r="F14" i="10"/>
  <c r="G14" i="10"/>
  <c r="T21" i="10"/>
  <c r="S21" i="10"/>
  <c r="R21" i="10"/>
  <c r="S8" i="10"/>
  <c r="R8" i="10"/>
  <c r="T8" i="10"/>
  <c r="T7" i="10"/>
  <c r="R7" i="10"/>
  <c r="S7" i="10"/>
  <c r="T13" i="10"/>
  <c r="S13" i="10"/>
  <c r="R13" i="10"/>
  <c r="T22" i="10"/>
  <c r="S22" i="10"/>
  <c r="R22" i="10"/>
  <c r="M19" i="10"/>
  <c r="L19" i="10"/>
  <c r="L12" i="10"/>
  <c r="M12" i="10"/>
  <c r="R9" i="10"/>
  <c r="T9" i="10"/>
  <c r="S9" i="10"/>
  <c r="G16" i="10"/>
  <c r="F16" i="10"/>
  <c r="M24" i="10"/>
  <c r="L24" i="10"/>
  <c r="M14" i="10"/>
  <c r="L14" i="10"/>
  <c r="M13" i="10"/>
  <c r="L13" i="10"/>
  <c r="R20" i="10"/>
  <c r="S20" i="10"/>
  <c r="T20" i="10"/>
  <c r="G21" i="10"/>
  <c r="F21" i="10"/>
  <c r="S12" i="10"/>
  <c r="T12" i="10"/>
  <c r="R12" i="10"/>
  <c r="G20" i="10"/>
  <c r="F20" i="10"/>
  <c r="M9" i="10"/>
  <c r="L9" i="10"/>
  <c r="F25" i="10"/>
  <c r="G25" i="10"/>
  <c r="G23" i="10"/>
  <c r="F23" i="10"/>
  <c r="T24" i="10"/>
  <c r="S24" i="10"/>
  <c r="R24" i="10"/>
  <c r="F7" i="10"/>
  <c r="G7" i="10"/>
  <c r="S14" i="10"/>
  <c r="R14" i="10"/>
  <c r="T14" i="10"/>
  <c r="G29" i="10"/>
  <c r="F29" i="10"/>
  <c r="F13" i="10"/>
  <c r="G13" i="10"/>
  <c r="M21" i="10"/>
  <c r="L21" i="10"/>
  <c r="M20" i="10"/>
  <c r="L20" i="10"/>
  <c r="M25" i="10"/>
  <c r="L25" i="10"/>
  <c r="G8" i="10"/>
  <c r="F8" i="10"/>
  <c r="S23" i="10"/>
  <c r="R23" i="10"/>
  <c r="T23" i="10"/>
  <c r="M7" i="10"/>
  <c r="L7" i="10"/>
  <c r="D62" i="9"/>
  <c r="D63" i="9" s="1"/>
  <c r="D25" i="9" l="1"/>
  <c r="D37" i="9" l="1"/>
  <c r="D31" i="9" l="1"/>
  <c r="D34" i="9" l="1"/>
  <c r="D23" i="9" l="1"/>
  <c r="D45" i="9" l="1"/>
  <c r="D46" i="9" s="1"/>
  <c r="D38" i="9"/>
  <c r="D36" i="9"/>
  <c r="D35" i="9"/>
  <c r="D33" i="9"/>
  <c r="D32" i="9"/>
  <c r="D30" i="9"/>
  <c r="D29" i="9"/>
  <c r="D28" i="9"/>
  <c r="D27" i="9"/>
  <c r="C26" i="9"/>
  <c r="Q11" i="10" s="1"/>
  <c r="D22" i="9"/>
  <c r="D16" i="9"/>
  <c r="D15" i="9"/>
  <c r="D14" i="9"/>
  <c r="D13" i="9"/>
  <c r="D12" i="9"/>
  <c r="D11" i="9"/>
  <c r="D10" i="9"/>
  <c r="D9" i="9"/>
  <c r="C8" i="9"/>
  <c r="Q10" i="10" s="1"/>
  <c r="K11" i="10" l="1"/>
  <c r="E11" i="10"/>
  <c r="K10" i="10"/>
  <c r="E10" i="10"/>
  <c r="C30" i="9"/>
  <c r="Q18" i="10" s="1"/>
  <c r="C11" i="9"/>
  <c r="Q17" i="10" s="1"/>
  <c r="D39" i="9"/>
  <c r="D17" i="9"/>
  <c r="F11" i="10" l="1"/>
  <c r="G11" i="10"/>
  <c r="G10" i="10"/>
  <c r="F10" i="10"/>
  <c r="M10" i="10"/>
  <c r="L10" i="10"/>
  <c r="T10" i="10"/>
  <c r="R10" i="10"/>
  <c r="S10" i="10"/>
  <c r="T11" i="10"/>
  <c r="S11" i="10"/>
  <c r="R11" i="10"/>
  <c r="K17" i="10"/>
  <c r="E17" i="10"/>
  <c r="K18" i="10"/>
  <c r="E18" i="10"/>
  <c r="L11" i="10"/>
  <c r="M11" i="10"/>
  <c r="C17" i="9"/>
  <c r="C39" i="9"/>
  <c r="D40" i="9"/>
  <c r="D47" i="9" s="1"/>
  <c r="D57" i="9" s="1"/>
  <c r="D64" i="9" s="1"/>
  <c r="S17" i="10" l="1"/>
  <c r="R17" i="10"/>
  <c r="T17" i="10"/>
  <c r="M17" i="10"/>
  <c r="L17" i="10"/>
  <c r="G17" i="10"/>
  <c r="F17" i="10"/>
  <c r="G18" i="10"/>
  <c r="F18" i="10"/>
  <c r="R18" i="10"/>
  <c r="S18" i="10"/>
  <c r="T18" i="10"/>
  <c r="L18" i="10"/>
  <c r="M18" i="10"/>
  <c r="C40" i="9"/>
  <c r="C47" i="9" s="1"/>
  <c r="C57" i="9" s="1"/>
  <c r="C64" i="9" s="1"/>
  <c r="G27" i="10"/>
  <c r="Q27" i="10" s="1"/>
  <c r="Q5" i="10" s="1"/>
  <c r="F27" i="10"/>
  <c r="U34" i="10"/>
  <c r="U45" i="10" s="1"/>
  <c r="U51" i="10" s="1"/>
  <c r="G5" i="10" l="1"/>
  <c r="K27" i="10"/>
  <c r="F19" i="10"/>
  <c r="M27" i="10" l="1"/>
  <c r="M5" i="10" s="1"/>
  <c r="L27" i="10"/>
  <c r="K5" i="10"/>
  <c r="L5" i="10" s="1"/>
  <c r="S27" i="10"/>
  <c r="R27" i="10"/>
  <c r="T27" i="10"/>
  <c r="T5" i="10" s="1"/>
  <c r="R5" i="10"/>
  <c r="S5" i="10" l="1"/>
  <c r="U5" i="10" s="1"/>
  <c r="V5" i="10" l="1"/>
  <c r="Y5" i="10"/>
  <c r="W5" i="10" l="1"/>
  <c r="X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Z12" authorId="0" shapeId="0" xr:uid="{43AF0F13-ECC7-4FD9-BFA4-3D9747CC4C17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17000,00 - Договор на оказание юридических услуг
7500,00 - Госпошлина</t>
        </r>
      </text>
    </comment>
    <comment ref="AA12" authorId="0" shapeId="0" xr:uid="{EC239C56-70CC-402A-B075-3AA8DDFBC394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27200,00 - Постановка организации на воинский учет
5000,00 - Договор на оказание юридичческих услуг
25934,00 - Госпошлина</t>
        </r>
      </text>
    </comment>
    <comment ref="AC12" authorId="0" shapeId="0" xr:uid="{88A85380-67BA-458B-B2BE-661BA582E736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170000,00 - консультационные услуги</t>
        </r>
      </text>
    </comment>
    <comment ref="AA13" authorId="0" shapeId="0" xr:uid="{42242845-7E1A-4D34-81AD-1947C55E9F0E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4623,00 - Полиграфические услуги
94,00 - Почтовые расходы
3713,50 - Канцелярские материалы
</t>
        </r>
      </text>
    </comment>
    <comment ref="AB21" authorId="0" shapeId="0" xr:uid="{79A652D5-E394-4D98-9250-44AFDAA75C5D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6000,00 - Внесение данных на портале "ГИС ЖКХ"
3570,00 - Продление лицензии на 12 месяцев на сайт ТСЖ
120,00 - 1С-ЭДО Пакет документов сверх лимита
7389,00 - Продление регистрации и безопасность домена tsg10-17g.ru
5770,00 - Аренда хостинг-площадки</t>
        </r>
      </text>
    </comment>
    <comment ref="AC21" authorId="0" shapeId="0" xr:uid="{4310C598-FE40-425A-8C28-D30E51969FB6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6900,00 - Ежемесячное обслуживание ГИС ЖКХ
8000,00 - Неисключительные права "Астрал-Отчетность" и "Астрал-ЭТ" (сроком 1 год)
2004,00- Услуга DNS-master S
</t>
        </r>
      </text>
    </comment>
    <comment ref="Z23" authorId="0" shapeId="0" xr:uid="{D3B3F0AE-15A7-4105-9A94-FD08A5368B63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58878,90 - ТО лифтов и ОДС
14696,12 - Техническое освидетельствование лифтов
3000,00 - Ежегодное страхование лифтов</t>
        </r>
      </text>
    </comment>
    <comment ref="Z24" authorId="0" shapeId="0" xr:uid="{54C7C3D9-71C8-4D31-ACC5-47759D989949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8250,00 - Оргтехника
899,00 - Доставка</t>
        </r>
      </text>
    </comment>
    <comment ref="Z25" authorId="0" shapeId="0" xr:uid="{DE9E8E70-A413-4009-8A39-848784A2348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520 084,88 - Работы по герметизация водоотводного лотка с терассы
534912,00 - Ремонт покрытия пола
4730,00 - ТО поломоечной машины
7604,00 - Поверка Датчика Метран 55-ДИ № 415735</t>
        </r>
      </text>
    </comment>
    <comment ref="AA25" authorId="0" shapeId="0" xr:uid="{21E79F26-9DB0-49A9-8CD8-2BE0BEFA3361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169550,00 - Ремонт покрытия пола
10848,00 - Ремонт подъемно секционных ворот</t>
        </r>
      </text>
    </comment>
    <comment ref="AB25" authorId="0" shapeId="0" xr:uid="{3DF30F25-EF2D-4D9C-BC69-A8C6C89BF75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21500,00 - Ремонт дверей и замков
11960,00 - Ремонт подъемно секционных ворот
5490,00 - ТО поломоечной машины</t>
        </r>
      </text>
    </comment>
    <comment ref="AC25" authorId="0" shapeId="0" xr:uid="{725A580C-60D8-4953-8EC3-893D1FB319E3}">
      <text>
        <r>
          <rPr>
            <b/>
            <sz val="9"/>
            <color indexed="81"/>
            <rFont val="Tahoma"/>
            <charset val="1"/>
          </rPr>
          <t xml:space="preserve">Admin:
</t>
        </r>
        <r>
          <rPr>
            <sz val="9"/>
            <color indexed="81"/>
            <rFont val="Tahoma"/>
            <family val="2"/>
            <charset val="204"/>
          </rPr>
          <t>298850,50 - Ремонт системы водоотчистных сооружений</t>
        </r>
        <r>
          <rPr>
            <sz val="9"/>
            <color indexed="81"/>
            <rFont val="Tahoma"/>
            <charset val="1"/>
          </rPr>
          <t xml:space="preserve">
12 500,00 - Ремонт дверей и замков
21 318,2- ТО поломоечной машины
12 720,00 - Ремонт подъемно-секционных ворот</t>
        </r>
      </text>
    </comment>
    <comment ref="AB26" authorId="0" shapeId="0" xr:uid="{C459E3D3-7780-4FB0-B084-62179C777ED9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231566,08 - Строительные материалы и инструменты
59350,00 - Материалы для ремонта поломоечной машины</t>
        </r>
      </text>
    </comment>
    <comment ref="AA27" authorId="0" shapeId="0" xr:uid="{4DD73F79-E62F-4E8B-98AB-84AB16A8C5BA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45000,00 - ТО АППЗ
15200,00 - Проверка сети внутреннего противопожарного водопровода</t>
        </r>
      </text>
    </comment>
  </commentList>
</comments>
</file>

<file path=xl/sharedStrings.xml><?xml version="1.0" encoding="utf-8"?>
<sst xmlns="http://schemas.openxmlformats.org/spreadsheetml/2006/main" count="384" uniqueCount="192">
  <si>
    <t>№ п/п</t>
  </si>
  <si>
    <t>Наименование показателя</t>
  </si>
  <si>
    <t>Руб. в месяц</t>
  </si>
  <si>
    <t>Руб. в год</t>
  </si>
  <si>
    <t>Заработная плата персонала управления</t>
  </si>
  <si>
    <t>Канцелярские принадлежности и почтовые расходы</t>
  </si>
  <si>
    <t>Содержание оргтехники</t>
  </si>
  <si>
    <t>Расчетно-кассовое обслуживание</t>
  </si>
  <si>
    <t>Услуги связи</t>
  </si>
  <si>
    <t>Повышение квалификации</t>
  </si>
  <si>
    <t>Программное обеспечение</t>
  </si>
  <si>
    <t>Итого:</t>
  </si>
  <si>
    <t>Заработная плата обслуживающего персонала</t>
  </si>
  <si>
    <t>2.1</t>
  </si>
  <si>
    <t>Примечание</t>
  </si>
  <si>
    <t>Поставщик</t>
  </si>
  <si>
    <t>ООО "О.С.Б.-Техно"</t>
  </si>
  <si>
    <t>Видеонаблюдение</t>
  </si>
  <si>
    <t>ЗАО "Квантум"</t>
  </si>
  <si>
    <t>Охрана</t>
  </si>
  <si>
    <t>Содержание и обслуживание лифтов</t>
  </si>
  <si>
    <t>Замена и очистка ковров</t>
  </si>
  <si>
    <t>Дезинфекция</t>
  </si>
  <si>
    <t>Вывоз и утилизация отходов</t>
  </si>
  <si>
    <t>ТО системы кондиционирования</t>
  </si>
  <si>
    <t>Радиоточки</t>
  </si>
  <si>
    <t>ФГУП РСВО - Санкт-Петербург</t>
  </si>
  <si>
    <t>Аварийное обслуживание</t>
  </si>
  <si>
    <t>ТО узла учета</t>
  </si>
  <si>
    <t>Текущий ремонт (по договорам)</t>
  </si>
  <si>
    <t>Текущий ремонт (материалы)</t>
  </si>
  <si>
    <t>Капитальный ремонт</t>
  </si>
  <si>
    <t>Электроэнергия ОДН</t>
  </si>
  <si>
    <t>Отопление и горячее водоснабжение</t>
  </si>
  <si>
    <t>ГУП "Водоканал Санкт-Петербурга"</t>
  </si>
  <si>
    <t>ОАО "ТГК-1"</t>
  </si>
  <si>
    <t>ОАО "ПСК"</t>
  </si>
  <si>
    <t>м2</t>
  </si>
  <si>
    <t xml:space="preserve">Единица </t>
  </si>
  <si>
    <t>Единица</t>
  </si>
  <si>
    <t>Итого</t>
  </si>
  <si>
    <t>Отчисления в страховые фонды (АУП)</t>
  </si>
  <si>
    <t>Отчисления в страховые фонды (Обслуживающий персонал)</t>
  </si>
  <si>
    <t>м3</t>
  </si>
  <si>
    <t>Материалы (инвентарь и хозяйственные принадлежности)</t>
  </si>
  <si>
    <t>Холодное водоснабжение и водоотведение</t>
  </si>
  <si>
    <t>Водоотведение</t>
  </si>
  <si>
    <t>ХВС</t>
  </si>
  <si>
    <t>Тариф за место</t>
  </si>
  <si>
    <t>В месяц</t>
  </si>
  <si>
    <t>В год</t>
  </si>
  <si>
    <t>Заработная плата административно-управленческого персонала</t>
  </si>
  <si>
    <t>офис</t>
  </si>
  <si>
    <t>Информационные и юридические услуги</t>
  </si>
  <si>
    <t xml:space="preserve">ТО автоматической противопожарной защиты </t>
  </si>
  <si>
    <t>Итого ТО МКД:</t>
  </si>
  <si>
    <t>3.1</t>
  </si>
  <si>
    <t>4.1</t>
  </si>
  <si>
    <t>ТО автоматической противопожарной защиты</t>
  </si>
  <si>
    <t xml:space="preserve">Озеленение территории </t>
  </si>
  <si>
    <t>Озеленение территории</t>
  </si>
  <si>
    <t>Содержание МКД (многоквартирного дома)</t>
  </si>
  <si>
    <t>Теплоэнергия и ГВС</t>
  </si>
  <si>
    <t>Квартиры</t>
  </si>
  <si>
    <t>Офисы</t>
  </si>
  <si>
    <t>Паркинг</t>
  </si>
  <si>
    <t>Гкал</t>
  </si>
  <si>
    <t>Среднемесячное потребление</t>
  </si>
  <si>
    <t>Услуга</t>
  </si>
  <si>
    <t>кВт</t>
  </si>
  <si>
    <t>Единица измерения</t>
  </si>
  <si>
    <t>место</t>
  </si>
  <si>
    <t xml:space="preserve">ООО "ЛК Интегралл плюс", ИКЦ "Техэксперт-сервис", "Ресо-гарантия", </t>
  </si>
  <si>
    <t>Изменения в % по отношению к предыдущему периоду</t>
  </si>
  <si>
    <t>квартира</t>
  </si>
  <si>
    <t>Очистка фасада</t>
  </si>
  <si>
    <t>ООО "Биг-Сервис"</t>
  </si>
  <si>
    <t>ТО ТВ</t>
  </si>
  <si>
    <t>Ежемесячное обслуживание по договору № ЖН/ТО/Д/10-17 от 01.11.2017</t>
  </si>
  <si>
    <t>ЗАО "ЭлектронТелеком"</t>
  </si>
  <si>
    <t>Тариф сохранен без изменений.</t>
  </si>
  <si>
    <t>Электроэнергия (дневная зона)</t>
  </si>
  <si>
    <t>Электроэнергия (ночная зона)</t>
  </si>
  <si>
    <t xml:space="preserve">Расходы на потребление коммунальных услуг: </t>
  </si>
  <si>
    <t xml:space="preserve">Прогнозируемые расходы на потребление коммунальных услуг на основании прошедшего года по дому в целом: </t>
  </si>
  <si>
    <t>Итого расходы на коммунальные услуги:</t>
  </si>
  <si>
    <t>Тариф на взносы на капитальный ремонт (минимальный размер тарифа устанавливается Правительством г. Санкт-Петербурга)</t>
  </si>
  <si>
    <t>ЗАПЛАНИРОВАННЫЕ НАЧИСЛЕНИЯ</t>
  </si>
  <si>
    <t>Итого по всем услугам:</t>
  </si>
  <si>
    <t xml:space="preserve">Изменения в % </t>
  </si>
  <si>
    <t>Метраж помещений</t>
  </si>
  <si>
    <t>ООО "ОО "ДОВЕРИЕ"</t>
  </si>
  <si>
    <t>1. Жилищные услуги</t>
  </si>
  <si>
    <t>1.1. Административно-управленческие расходы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</si>
  <si>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</si>
  <si>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</si>
  <si>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</si>
  <si>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</si>
  <si>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</si>
  <si>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</si>
  <si>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</si>
  <si>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</si>
  <si>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</t>
  </si>
  <si>
    <t xml:space="preserve">1.2. Содержание и обслуживание общего имущества 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</si>
  <si>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</si>
  <si>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</si>
  <si>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</si>
  <si>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</si>
  <si>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</si>
  <si>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</si>
  <si>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</si>
  <si>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</si>
  <si>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</si>
  <si>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</si>
  <si>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</si>
  <si>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</si>
  <si>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</si>
  <si>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</si>
  <si>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</si>
  <si>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</si>
  <si>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</si>
  <si>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2. Прочие услуги</t>
  </si>
  <si>
    <t>3. Коммунальные услуги</t>
  </si>
  <si>
    <t>3.2</t>
  </si>
  <si>
    <t>3.3</t>
  </si>
  <si>
    <t>3.4</t>
  </si>
  <si>
    <t>4. Капитальный ремонт</t>
  </si>
  <si>
    <t xml:space="preserve">   Итого без учета коммунальных услуг и взносов на капитальный ремонт:</t>
  </si>
  <si>
    <t>Итого планируемые расходы с учетом потребления коммунальных услуг:</t>
  </si>
  <si>
    <t>Итого планируемые начисления по обязательным взносам на капитальный ремонт:</t>
  </si>
  <si>
    <t>Итого по всем позициям:</t>
  </si>
  <si>
    <t>Прогнозируемые расходы на потребление коммунальных услуг:</t>
  </si>
  <si>
    <t>АО "Невский экологический оператор"</t>
  </si>
  <si>
    <r>
      <t xml:space="preserve">Тариф </t>
    </r>
    <r>
      <rPr>
        <b/>
        <sz val="11"/>
        <rFont val="Times New Roman"/>
        <family val="1"/>
        <charset val="204"/>
      </rPr>
      <t xml:space="preserve">2023 -2024 </t>
    </r>
    <r>
      <rPr>
        <sz val="11"/>
        <rFont val="Times New Roman"/>
        <family val="1"/>
        <charset val="204"/>
      </rPr>
      <t>г.</t>
    </r>
  </si>
  <si>
    <t>Тариф 2023-2024 г.</t>
  </si>
  <si>
    <t>Тариф увеличен в связи с плановым повышением стоимости расчетно-кассового обслуживания.</t>
  </si>
  <si>
    <t>85,9952 / 87,6748</t>
  </si>
  <si>
    <t>Финансово-хозяйственный план ТСЖ  "10-я линия 17-Г" на 2024-2025 гг.</t>
  </si>
  <si>
    <t xml:space="preserve">Председатель Правления, управляющая, бухгалтер. </t>
  </si>
  <si>
    <t>ООО "АСТРАЛ-СОФТ", ООО "Тиражные решения 1С-Рарус", АО "РСИЦ", ООО "ПОЛЯРИС ИТ"</t>
  </si>
  <si>
    <t>2 уборщика, уборщик паркинга, дворник, инженер.</t>
  </si>
  <si>
    <t>ОСФР (Единый тариф страховых взносов на обязательное пенсионное страхование, обязательное социальное страхование на случай временной нетрудоспособности и в связи с материнством и обязательное медицинское страхование) - 30%, ФСС (несчастный случай) - 0,2%</t>
  </si>
  <si>
    <t>Юридические услуги, госпошлина. Тариф увеличен в соответствии с затратами прошлых лет.</t>
  </si>
  <si>
    <t>Подготовка к обязательной сдаче экзаменов на допуск к работам по обслуживанию лифтов, тепло - и электробезопасность. Тариф сохранен без изменений соответствии с затратами прошлых лет.</t>
  </si>
  <si>
    <t>Тариф сохранен без изменений соответствии с затратами прошлых лет.</t>
  </si>
  <si>
    <t>ООО "УК Возрождение"</t>
  </si>
  <si>
    <t>Договор на аварийное обслуживание с оплатой по факту выполненных работ с ООО "УК Возрождение" № 46/22 от 01.06.2022 г. Разовая стоимость вызова аварийной бригады составляет 3 200,00 руб.</t>
  </si>
  <si>
    <t>Ежемесячное обслуживание по договору № 66 от 03.12.2018 г.</t>
  </si>
  <si>
    <t>ООО "Линдэйли"</t>
  </si>
  <si>
    <t xml:space="preserve">Ежемесячное обслуживание по договору № 2210-18/ОУ от 22.10.2018 г. </t>
  </si>
  <si>
    <t>Тариф снижен в соответствии с затратами прошлых лет.</t>
  </si>
  <si>
    <t>Тариф снижен соответствии с затратами прошлых лет.</t>
  </si>
  <si>
    <t>Ежемесячное техническое обслуживание видеодомофона по Договору 4-С от 01.03.2019 г. - 15 000,00 руб.</t>
  </si>
  <si>
    <t>ОАО "Станция профилактической дезинфекции"</t>
  </si>
  <si>
    <r>
      <t xml:space="preserve">С 01.04.2023 г. правопреемников ЗАО «Линдстрем» является ООО "Линдэйли". 
4-ех недельное обслуживание по договору № 38320 от 01.04.2011 г. 
</t>
    </r>
    <r>
      <rPr>
        <sz val="11"/>
        <color theme="1"/>
        <rFont val="Calibri"/>
        <family val="2"/>
        <charset val="204"/>
        <scheme val="minor"/>
      </rPr>
      <t>С 01.01.2024 г. стоимость услуги увеличена с 14 713,58 руб. до 16 479,20 руб.</t>
    </r>
  </si>
  <si>
    <r>
      <t xml:space="preserve">Хозяйственный инвентарь. Материалы и средства для уборки. </t>
    </r>
    <r>
      <rPr>
        <sz val="11"/>
        <color theme="1"/>
        <rFont val="Calibri"/>
        <family val="2"/>
        <charset val="204"/>
        <scheme val="minor"/>
      </rPr>
      <t>Тариф снижен соответствии с затратами прошлых лет.</t>
    </r>
  </si>
  <si>
    <r>
      <t xml:space="preserve">Ежемесячное техническое обслуживание лифтов - 17 898,30 руб. Ежемесячное ТО ОДС - 1 728,00 руб. Ежегодное техническое освидетельствование лифтов - 14 696,14 руб. </t>
    </r>
    <r>
      <rPr>
        <sz val="11"/>
        <color theme="1"/>
        <rFont val="Calibri"/>
        <family val="2"/>
        <charset val="204"/>
        <scheme val="minor"/>
      </rPr>
      <t>Ежегодное страхование - 3 000 руб.</t>
    </r>
  </si>
  <si>
    <t>Запланированные работы: Ремонт фасада (отливы парадной № 4) - 500 000 руб., Ремонт колонн - 400 000 руб., Ремонт дождеприёмных воронок - 100 000 руб., Гидроизоляция - 200 000 руб., Ремонт системы видеонаблюдения - 120 000 руб., Ремонт поломоечной машины 45 000 руб.;</t>
  </si>
  <si>
    <t>15 000,00 руб. - ежемесячная оплата за техническое обслуживание по договору №04-01-2019/ТО от 01.01.2019 г., 55 680,00 руб. - проверка работоспособности пожарных гидрантов.</t>
  </si>
  <si>
    <t xml:space="preserve"> Обслуживание системы кондиционирования два раза в год - 100 000 руб., Ремонт и дозаправка фреоном - 60 000 руб.</t>
  </si>
  <si>
    <t>ООО "НКС"</t>
  </si>
  <si>
    <t>ООО "ТБН Энерготех"</t>
  </si>
  <si>
    <t>Ежемесячное обслуживание по Договору № 07-12-2012-СО. с ООО "Содружество" расторгнуто с 01.03.2024 г.
Заключен договор № 178/2024 от 01.03.2024 г. на обслуживание узла учета с ООО "ТБН Энерготех".
Стоимость услуг не меняется.</t>
  </si>
  <si>
    <t>Ежемесячное обслуживание по договору № 30593 от 03.08.2009 г. Стоимость услуг сохранена без изменений.</t>
  </si>
  <si>
    <t>Тариф 2024-2025 г.</t>
  </si>
  <si>
    <r>
      <t xml:space="preserve">Тариф </t>
    </r>
    <r>
      <rPr>
        <b/>
        <sz val="11"/>
        <rFont val="Times New Roman"/>
        <family val="1"/>
        <charset val="204"/>
      </rPr>
      <t xml:space="preserve">2024 -2025 </t>
    </r>
    <r>
      <rPr>
        <sz val="11"/>
        <rFont val="Times New Roman"/>
        <family val="1"/>
        <charset val="204"/>
      </rPr>
      <t>г.</t>
    </r>
  </si>
  <si>
    <t>C 01.07.2024 тариф на теплоэнергию увеличен с 2 111,40 руб./Гкал до 2318,32 руб./Гкал, и с 126,68 руб./м3 до 139,10 руб./м3 на горячую воду.</t>
  </si>
  <si>
    <t>C 01.07.2024 тариф на холодное водоснабжение и водоотведение увеличен с 36,54 руб./м3 до 39,72 руб./м3.</t>
  </si>
  <si>
    <t>C 01.07.2024 тариф на электрическую энергию увеличен с 4,88 руб./кВт∙ч до 5,30 руб./кВт∙ч. (дневная зона) и с 2,67 руб./кВт∙ч до 2,90 руб./кВт∙ч. (ночная зона).</t>
  </si>
  <si>
    <t xml:space="preserve">Минимальный размер взноса на капитальный ремонт общего имущества для типа "Панельные "новое строительство", постройки после 1980 г." и "дома, построенные после 1999 года, категории "новое строительство панельные" c лифтом с 01.01.2023 г. составляет 12,71 руб./м2. </t>
  </si>
  <si>
    <t>С 01.01.2024 г. тариф составляет 8,7752 (=1367,57 руб./м3 х 0,077/12 м3/м2). С 01.07.2024 г. тариф будет составлять 9,3895 (=1463,30 руб./м3 х 0,077/12 м3/м2).</t>
  </si>
  <si>
    <t>Хостинг сайта ТСЖ - 5 770,00 руб., консультации по работе с ПО и настройка информационной базы 1с - 8 000,00 руб., ЭЦП (МЧД) и токен - 4 000,00 руб., ежемесячное обслуживание ГИС ЖКХ - 48 000,00 руб., доработка сайта - 30 000 руб., ежегодное продление регистрации домена - 3 289,00 руб., ЭДО и сервис передачи отчетности - 5 900,00 руб., КриптоПро CSP - 2 700,00 руб.</t>
  </si>
  <si>
    <t>88,5127 / 90,3455</t>
  </si>
  <si>
    <t>2,93% / 3,05%</t>
  </si>
  <si>
    <t>В квартал</t>
  </si>
  <si>
    <t>За полугодие</t>
  </si>
  <si>
    <t>За 9 месяцев</t>
  </si>
  <si>
    <t>За год</t>
  </si>
  <si>
    <t>1 квартал</t>
  </si>
  <si>
    <t>2 квартал</t>
  </si>
  <si>
    <t>3 квартал</t>
  </si>
  <si>
    <t>4 квартал</t>
  </si>
  <si>
    <t>За месяц</t>
  </si>
  <si>
    <t>За квартал</t>
  </si>
  <si>
    <t>Фактические расходы:</t>
  </si>
  <si>
    <t>Итого по коммунальным услугам:</t>
  </si>
  <si>
    <t>ФАКТИЧЕСКИЕ НАЧИСЛЕНИЯ (с учетом пени)</t>
  </si>
  <si>
    <t>ЗАПЛАНИРОВАННЫЕ РАСХОДЫ</t>
  </si>
  <si>
    <t>ФАКТИЧЕСКИЕ РАСХОДЫ</t>
  </si>
  <si>
    <t>Итого запланированные расходы с учетом потребления коммунальных услуг:</t>
  </si>
  <si>
    <t xml:space="preserve"> Итого без учета коммунальных услуг:</t>
  </si>
  <si>
    <t>ОТЧЕТ ПО ИСПОЛНЕНИЮ СМЕТЫ С 01.06.2024 ПО 31.05.2025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</si>
</sst>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1" fillId="0" borderId="0" xfId="0" applyNumberFormat="1" applyFont="1"/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2" fontId="3" fillId="3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/>
    <xf numFmtId="164" fontId="1" fillId="0" borderId="0" xfId="0" applyNumberFormat="1" applyFont="1" applyBorder="1"/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BFED-26C1-42C1-9B42-71A78302AB71}">
  <sheetPr>
    <pageSetUpPr fitToPage="1"/>
  </sheetPr>
  <dimension ref="A1:AD64"/>
  <sheetViews>
    <sheetView tabSelected="1" zoomScale="85" zoomScaleNormal="85" workbookViewId="0">
      <selection activeCell="X37" sqref="A29:AD37"/>
    </sheetView>
  </sheetViews>
  <sheetFormatPr defaultRowHeight="15" x14ac:dyDescent="0.25"/>
  <cols>
    <col min="1" max="1" width="41.28515625" style="4" customWidth="1"/>
    <col min="2" max="2" width="10.28515625" style="4" hidden="1" customWidth="1"/>
    <col min="3" max="3" width="11" style="4" hidden="1" customWidth="1"/>
    <col min="4" max="4" width="20.85546875" style="4" hidden="1" customWidth="1"/>
    <col min="5" max="5" width="20.140625" style="4" hidden="1" customWidth="1"/>
    <col min="6" max="6" width="21.85546875" style="4" hidden="1" customWidth="1"/>
    <col min="7" max="7" width="11.7109375" style="4" hidden="1" customWidth="1"/>
    <col min="8" max="8" width="9.140625" style="4" hidden="1" customWidth="1"/>
    <col min="9" max="9" width="11" style="4" hidden="1" customWidth="1"/>
    <col min="10" max="10" width="20.5703125" style="4" hidden="1" customWidth="1"/>
    <col min="11" max="11" width="20.28515625" style="4" hidden="1" customWidth="1"/>
    <col min="12" max="12" width="21.85546875" style="4" hidden="1" customWidth="1"/>
    <col min="13" max="13" width="13.140625" style="4" hidden="1" customWidth="1"/>
    <col min="14" max="14" width="9.140625" style="4" hidden="1" customWidth="1"/>
    <col min="15" max="15" width="11" style="4" hidden="1" customWidth="1"/>
    <col min="16" max="17" width="19.85546875" style="4" hidden="1" customWidth="1"/>
    <col min="18" max="18" width="21.85546875" style="4" hidden="1" customWidth="1"/>
    <col min="19" max="19" width="11.7109375" style="4" hidden="1" customWidth="1"/>
    <col min="20" max="20" width="9.42578125" style="4" hidden="1" customWidth="1"/>
    <col min="21" max="21" width="13.140625" style="4" customWidth="1"/>
    <col min="22" max="22" width="14.5703125" style="4" bestFit="1" customWidth="1"/>
    <col min="23" max="23" width="14.140625" style="4" bestFit="1" customWidth="1"/>
    <col min="24" max="25" width="14.28515625" style="4" bestFit="1" customWidth="1"/>
    <col min="26" max="28" width="13.140625" style="4" bestFit="1" customWidth="1"/>
    <col min="29" max="29" width="12.7109375" style="4" customWidth="1"/>
    <col min="30" max="30" width="15.28515625" style="4" customWidth="1"/>
    <col min="31" max="16384" width="9.140625" style="4"/>
  </cols>
  <sheetData>
    <row r="1" spans="1:30" ht="18.75" x14ac:dyDescent="0.3">
      <c r="A1" s="82" t="s">
        <v>191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</row>
    <row r="2" spans="1:30" x14ac:dyDescent="0.25">
      <c r="A2" s="80" t="s">
        <v>68</v>
      </c>
      <c r="B2" s="80" t="s">
        <v>63</v>
      </c>
      <c r="C2" s="80"/>
      <c r="D2" s="80"/>
      <c r="E2" s="80"/>
      <c r="F2" s="80"/>
      <c r="G2" s="80"/>
      <c r="H2" s="80" t="s">
        <v>64</v>
      </c>
      <c r="I2" s="80"/>
      <c r="J2" s="80"/>
      <c r="K2" s="80"/>
      <c r="L2" s="80"/>
      <c r="M2" s="80"/>
      <c r="N2" s="80" t="s">
        <v>65</v>
      </c>
      <c r="O2" s="80"/>
      <c r="P2" s="80"/>
      <c r="Q2" s="80"/>
      <c r="R2" s="80"/>
      <c r="S2" s="80"/>
      <c r="T2" s="80"/>
      <c r="U2" s="76" t="s">
        <v>187</v>
      </c>
      <c r="V2" s="76"/>
      <c r="W2" s="76"/>
      <c r="X2" s="76"/>
      <c r="Y2" s="76"/>
      <c r="Z2" s="76" t="s">
        <v>188</v>
      </c>
      <c r="AA2" s="76"/>
      <c r="AB2" s="76"/>
      <c r="AC2" s="76"/>
      <c r="AD2" s="76"/>
    </row>
    <row r="3" spans="1:30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76"/>
      <c r="V3" s="76"/>
      <c r="W3" s="76"/>
      <c r="X3" s="76"/>
      <c r="Y3" s="76"/>
      <c r="Z3" s="76"/>
      <c r="AA3" s="76"/>
      <c r="AB3" s="76"/>
      <c r="AC3" s="76"/>
      <c r="AD3" s="76"/>
    </row>
    <row r="4" spans="1:30" ht="45" x14ac:dyDescent="0.25">
      <c r="A4" s="80"/>
      <c r="B4" s="9" t="s">
        <v>39</v>
      </c>
      <c r="C4" s="10" t="s">
        <v>90</v>
      </c>
      <c r="D4" s="50" t="s">
        <v>134</v>
      </c>
      <c r="E4" s="10" t="s">
        <v>164</v>
      </c>
      <c r="F4" s="11" t="s">
        <v>73</v>
      </c>
      <c r="G4" s="10" t="s">
        <v>40</v>
      </c>
      <c r="H4" s="9" t="s">
        <v>38</v>
      </c>
      <c r="I4" s="10" t="s">
        <v>90</v>
      </c>
      <c r="J4" s="50" t="s">
        <v>134</v>
      </c>
      <c r="K4" s="50" t="s">
        <v>164</v>
      </c>
      <c r="L4" s="11" t="s">
        <v>73</v>
      </c>
      <c r="M4" s="9" t="s">
        <v>40</v>
      </c>
      <c r="N4" s="9" t="s">
        <v>38</v>
      </c>
      <c r="O4" s="10" t="s">
        <v>90</v>
      </c>
      <c r="P4" s="50" t="s">
        <v>134</v>
      </c>
      <c r="Q4" s="50" t="s">
        <v>164</v>
      </c>
      <c r="R4" s="11" t="s">
        <v>73</v>
      </c>
      <c r="S4" s="9" t="s">
        <v>40</v>
      </c>
      <c r="T4" s="10" t="s">
        <v>48</v>
      </c>
      <c r="U4" s="63" t="s">
        <v>49</v>
      </c>
      <c r="V4" s="63" t="s">
        <v>174</v>
      </c>
      <c r="W4" s="63" t="s">
        <v>175</v>
      </c>
      <c r="X4" s="63" t="s">
        <v>176</v>
      </c>
      <c r="Y4" s="63" t="s">
        <v>177</v>
      </c>
      <c r="Z4" s="63" t="s">
        <v>178</v>
      </c>
      <c r="AA4" s="63" t="s">
        <v>179</v>
      </c>
      <c r="AB4" s="63" t="s">
        <v>180</v>
      </c>
      <c r="AC4" s="63" t="s">
        <v>181</v>
      </c>
      <c r="AD4" s="63" t="s">
        <v>50</v>
      </c>
    </row>
    <row r="5" spans="1:30" ht="28.5" x14ac:dyDescent="0.25">
      <c r="A5" s="12" t="s">
        <v>61</v>
      </c>
      <c r="B5" s="13" t="s">
        <v>37</v>
      </c>
      <c r="C5" s="14">
        <v>7172.8</v>
      </c>
      <c r="D5" s="15" t="s">
        <v>136</v>
      </c>
      <c r="E5" s="15" t="s">
        <v>172</v>
      </c>
      <c r="F5" s="49" t="s">
        <v>173</v>
      </c>
      <c r="G5" s="14">
        <f>SUM(G6:G31)</f>
        <v>604159.75763656211</v>
      </c>
      <c r="H5" s="13" t="s">
        <v>37</v>
      </c>
      <c r="I5" s="14">
        <v>879.2</v>
      </c>
      <c r="J5" s="15">
        <v>102.75056897652703</v>
      </c>
      <c r="K5" s="15">
        <f>SUM(K6:K31)</f>
        <v>99.685204628690514</v>
      </c>
      <c r="L5" s="16">
        <f t="shared" ref="L5:L28" si="0">(K5-J5)/J5</f>
        <v>-2.9833064462512042E-2</v>
      </c>
      <c r="M5" s="14">
        <f>SUM(M6:M31)</f>
        <v>87643.231909544687</v>
      </c>
      <c r="N5" s="13" t="s">
        <v>37</v>
      </c>
      <c r="O5" s="14">
        <v>2150.25</v>
      </c>
      <c r="P5" s="15">
        <v>127.76129438790669</v>
      </c>
      <c r="Q5" s="15">
        <f>SUM(Q6:Q31)</f>
        <v>123.72828420905766</v>
      </c>
      <c r="R5" s="16">
        <f>(Q5-P5)/P5</f>
        <v>-3.1566760482279306E-2</v>
      </c>
      <c r="S5" s="14">
        <f>SUM(S6:S31)</f>
        <v>266046.7431205262</v>
      </c>
      <c r="T5" s="14">
        <f>SUM(T6:T43)</f>
        <v>3547.2899082736844</v>
      </c>
      <c r="U5" s="14">
        <f>SUM(G5+M5+S5)</f>
        <v>957849.73266663298</v>
      </c>
      <c r="V5" s="14">
        <f>SUM(U5)*3</f>
        <v>2873549.1979998988</v>
      </c>
      <c r="W5" s="14">
        <f>SUM(V5)*2</f>
        <v>5747098.3959997976</v>
      </c>
      <c r="X5" s="14">
        <f>SUM(V5)*3</f>
        <v>8620647.5939996969</v>
      </c>
      <c r="Y5" s="14">
        <f>SUM(U5)*12</f>
        <v>11494196.791999595</v>
      </c>
      <c r="Z5" s="14">
        <f>SUM(Z6:Z31)</f>
        <v>3265763.03</v>
      </c>
      <c r="AA5" s="14">
        <f>SUM(AA6:AA31)</f>
        <v>3474365.7299999995</v>
      </c>
      <c r="AB5" s="14">
        <f>SUM(AB6:AB31)</f>
        <v>2409299.1799999997</v>
      </c>
      <c r="AC5" s="14">
        <f>SUM(AC6:AC31)</f>
        <v>2699265.89</v>
      </c>
      <c r="AD5" s="14">
        <f>SUM(Z5,AA5,AB5,AC5)</f>
        <v>11848693.83</v>
      </c>
    </row>
    <row r="6" spans="1:30" x14ac:dyDescent="0.25">
      <c r="A6" s="10" t="s">
        <v>27</v>
      </c>
      <c r="B6" s="9" t="s">
        <v>37</v>
      </c>
      <c r="C6" s="17">
        <v>7172.8</v>
      </c>
      <c r="D6" s="38">
        <v>0.10455242716067535</v>
      </c>
      <c r="E6" s="38">
        <f>SUM(U6)/(C6+I6+O6)</f>
        <v>2.6138025108840304E-2</v>
      </c>
      <c r="F6" s="28">
        <f t="shared" ref="F6:F8" si="1">(E6-D6)/D6</f>
        <v>-0.7500007812475592</v>
      </c>
      <c r="G6" s="18">
        <f t="shared" ref="G6:G8" si="2">SUM(C6*E6)</f>
        <v>187.48282650068973</v>
      </c>
      <c r="H6" s="9" t="s">
        <v>37</v>
      </c>
      <c r="I6" s="17">
        <v>879.2</v>
      </c>
      <c r="J6" s="38">
        <v>0.10455242716067535</v>
      </c>
      <c r="K6" s="38">
        <f>SUM(U6)/(C6+I6+O6)</f>
        <v>2.6138025108840304E-2</v>
      </c>
      <c r="L6" s="28">
        <f t="shared" si="0"/>
        <v>-0.7500007812475592</v>
      </c>
      <c r="M6" s="18">
        <f t="shared" ref="M6:M31" si="3">SUM(I6*K6)</f>
        <v>22.980551675692396</v>
      </c>
      <c r="N6" s="9" t="s">
        <v>37</v>
      </c>
      <c r="O6" s="17">
        <v>2150.25</v>
      </c>
      <c r="P6" s="38">
        <v>0.10455242716067535</v>
      </c>
      <c r="Q6" s="38">
        <f>SUM(U6)/(C6+I6+O6)</f>
        <v>2.6138025108840304E-2</v>
      </c>
      <c r="R6" s="28">
        <f t="shared" ref="R6:R8" si="4">(Q6-P6)/P6</f>
        <v>-0.7500007812475592</v>
      </c>
      <c r="S6" s="18">
        <f t="shared" ref="S6:S14" si="5">SUM(O6*Q6)</f>
        <v>56.20328849028386</v>
      </c>
      <c r="T6" s="20">
        <f>SUM(Q6)*28.67</f>
        <v>0.74937717987045149</v>
      </c>
      <c r="U6" s="69">
        <f>SUM(План!C22)</f>
        <v>266.666666666666</v>
      </c>
      <c r="V6" s="17">
        <f t="shared" ref="V6:V31" si="6">SUM(U6)*3</f>
        <v>799.99999999999795</v>
      </c>
      <c r="W6" s="63">
        <f t="shared" ref="W6:W31" si="7">SUM(V6)*2</f>
        <v>1599.9999999999959</v>
      </c>
      <c r="X6" s="17">
        <f t="shared" ref="X6:X31" si="8">SUM(V6)*3</f>
        <v>2399.9999999999936</v>
      </c>
      <c r="Y6" s="14">
        <f t="shared" ref="Y6:Y31" si="9">SUM(U6)*12</f>
        <v>3199.9999999999918</v>
      </c>
      <c r="Z6" s="63">
        <v>0</v>
      </c>
      <c r="AA6" s="63">
        <v>0</v>
      </c>
      <c r="AB6" s="63">
        <v>0</v>
      </c>
      <c r="AC6" s="63">
        <v>0</v>
      </c>
      <c r="AD6" s="17">
        <f>SUM(Z6,AA6,AB6,AC6)</f>
        <v>0</v>
      </c>
    </row>
    <row r="7" spans="1:30" x14ac:dyDescent="0.25">
      <c r="A7" s="10" t="s">
        <v>22</v>
      </c>
      <c r="B7" s="9" t="s">
        <v>37</v>
      </c>
      <c r="C7" s="17">
        <v>7172.8</v>
      </c>
      <c r="D7" s="38">
        <v>0.15448160944889608</v>
      </c>
      <c r="E7" s="38">
        <f t="shared" ref="E7:E31" si="10">SUM(U7)/(C7+I7+O7)</f>
        <v>0.15448160944889608</v>
      </c>
      <c r="F7" s="28">
        <f t="shared" si="1"/>
        <v>0</v>
      </c>
      <c r="G7" s="18">
        <f t="shared" si="2"/>
        <v>1108.0656882550418</v>
      </c>
      <c r="H7" s="9" t="s">
        <v>37</v>
      </c>
      <c r="I7" s="17">
        <v>879.2</v>
      </c>
      <c r="J7" s="38">
        <v>0.15448160944889608</v>
      </c>
      <c r="K7" s="38">
        <f t="shared" ref="K7:K31" si="11">SUM(U7)/(C7+I7+O7)</f>
        <v>0.15448160944889608</v>
      </c>
      <c r="L7" s="28">
        <f t="shared" si="0"/>
        <v>0</v>
      </c>
      <c r="M7" s="18">
        <f t="shared" si="3"/>
        <v>135.82023102746945</v>
      </c>
      <c r="N7" s="9" t="s">
        <v>37</v>
      </c>
      <c r="O7" s="17">
        <v>2150.25</v>
      </c>
      <c r="P7" s="38">
        <v>0.15448160944889608</v>
      </c>
      <c r="Q7" s="38">
        <f t="shared" ref="Q7:Q31" si="12">SUM(U7)/(C7+I7+O7)</f>
        <v>0.15448160944889608</v>
      </c>
      <c r="R7" s="28">
        <f t="shared" si="4"/>
        <v>0</v>
      </c>
      <c r="S7" s="18">
        <f t="shared" si="5"/>
        <v>332.17408071748878</v>
      </c>
      <c r="T7" s="20">
        <f t="shared" ref="T7:T8" si="13">SUM(Q7)*28.67</f>
        <v>4.4289877428998512</v>
      </c>
      <c r="U7" s="69">
        <f>SUM(План!C23)</f>
        <v>1576.06</v>
      </c>
      <c r="V7" s="17">
        <f t="shared" si="6"/>
        <v>4728.18</v>
      </c>
      <c r="W7" s="63">
        <f t="shared" si="7"/>
        <v>9456.36</v>
      </c>
      <c r="X7" s="17">
        <f t="shared" si="8"/>
        <v>14184.54</v>
      </c>
      <c r="Y7" s="14">
        <f t="shared" si="9"/>
        <v>18912.72</v>
      </c>
      <c r="Z7" s="63">
        <v>4728.18</v>
      </c>
      <c r="AA7" s="63">
        <v>4728.18</v>
      </c>
      <c r="AB7" s="63">
        <v>4980.3599999999997</v>
      </c>
      <c r="AC7" s="71">
        <v>5106.45</v>
      </c>
      <c r="AD7" s="17">
        <f t="shared" ref="AD7:AD31" si="14">SUM(Z7,AA7,AB7,AC7)</f>
        <v>19543.170000000002</v>
      </c>
    </row>
    <row r="8" spans="1:30" x14ac:dyDescent="0.25">
      <c r="A8" s="39" t="s">
        <v>17</v>
      </c>
      <c r="B8" s="9" t="s">
        <v>37</v>
      </c>
      <c r="C8" s="17">
        <v>7172.8</v>
      </c>
      <c r="D8" s="38">
        <v>1.6172903036094979</v>
      </c>
      <c r="E8" s="38">
        <f t="shared" si="10"/>
        <v>1.4702639123722707</v>
      </c>
      <c r="F8" s="28">
        <f t="shared" si="1"/>
        <v>-9.0909090909090953E-2</v>
      </c>
      <c r="G8" s="18">
        <f t="shared" si="2"/>
        <v>10545.908990663824</v>
      </c>
      <c r="H8" s="9" t="s">
        <v>37</v>
      </c>
      <c r="I8" s="17">
        <v>879.2</v>
      </c>
      <c r="J8" s="38">
        <v>1.6172903036094979</v>
      </c>
      <c r="K8" s="38">
        <f t="shared" si="11"/>
        <v>1.4702639123722707</v>
      </c>
      <c r="L8" s="28">
        <f t="shared" si="0"/>
        <v>-9.0909090909090953E-2</v>
      </c>
      <c r="M8" s="18">
        <f t="shared" si="3"/>
        <v>1292.6560317577005</v>
      </c>
      <c r="N8" s="9" t="s">
        <v>37</v>
      </c>
      <c r="O8" s="17">
        <v>2150.25</v>
      </c>
      <c r="P8" s="38">
        <v>1.6172903036094979</v>
      </c>
      <c r="Q8" s="38">
        <f t="shared" si="12"/>
        <v>1.4702639123722707</v>
      </c>
      <c r="R8" s="28">
        <f t="shared" si="4"/>
        <v>-9.0909090909090953E-2</v>
      </c>
      <c r="S8" s="18">
        <f t="shared" si="5"/>
        <v>3161.4349775784749</v>
      </c>
      <c r="T8" s="20">
        <f t="shared" si="13"/>
        <v>42.152466367713004</v>
      </c>
      <c r="U8" s="69">
        <f>SUM(План!C24)</f>
        <v>15000</v>
      </c>
      <c r="V8" s="17">
        <f t="shared" si="6"/>
        <v>45000</v>
      </c>
      <c r="W8" s="63">
        <f t="shared" si="7"/>
        <v>90000</v>
      </c>
      <c r="X8" s="17">
        <f t="shared" si="8"/>
        <v>135000</v>
      </c>
      <c r="Y8" s="14">
        <f t="shared" si="9"/>
        <v>180000</v>
      </c>
      <c r="Z8" s="63">
        <v>45000</v>
      </c>
      <c r="AA8" s="63">
        <v>45000</v>
      </c>
      <c r="AB8" s="63">
        <v>43000</v>
      </c>
      <c r="AC8" s="71">
        <v>39000</v>
      </c>
      <c r="AD8" s="17">
        <f t="shared" si="14"/>
        <v>172000</v>
      </c>
    </row>
    <row r="9" spans="1:30" x14ac:dyDescent="0.25">
      <c r="A9" s="39" t="s">
        <v>21</v>
      </c>
      <c r="B9" s="9" t="s">
        <v>37</v>
      </c>
      <c r="C9" s="17">
        <v>7172.8</v>
      </c>
      <c r="D9" s="38">
        <v>1.4794128746109927</v>
      </c>
      <c r="E9" s="38">
        <f t="shared" si="10"/>
        <v>1.663324920156495</v>
      </c>
      <c r="F9" s="28">
        <f t="shared" ref="F9:F31" si="15">(E9-D9)/D9</f>
        <v>0.12431421187534378</v>
      </c>
      <c r="G9" s="18">
        <f t="shared" ref="G9:G31" si="16">SUM(C9*E9)</f>
        <v>11930.696987298508</v>
      </c>
      <c r="H9" s="9" t="s">
        <v>37</v>
      </c>
      <c r="I9" s="17">
        <v>879.2</v>
      </c>
      <c r="J9" s="38">
        <v>1.4794128746109927</v>
      </c>
      <c r="K9" s="38">
        <f t="shared" si="11"/>
        <v>1.663324920156495</v>
      </c>
      <c r="L9" s="28">
        <f t="shared" si="0"/>
        <v>0.12431421187534378</v>
      </c>
      <c r="M9" s="18">
        <f t="shared" si="3"/>
        <v>1462.3952698015905</v>
      </c>
      <c r="N9" s="9" t="s">
        <v>37</v>
      </c>
      <c r="O9" s="17">
        <v>2150.25</v>
      </c>
      <c r="P9" s="38">
        <v>1.4794128746109927</v>
      </c>
      <c r="Q9" s="38">
        <f t="shared" si="12"/>
        <v>1.663324920156495</v>
      </c>
      <c r="R9" s="28">
        <f t="shared" ref="R9:R15" si="17">(Q9-P9)/P9</f>
        <v>0.12431421187534378</v>
      </c>
      <c r="S9" s="18">
        <f t="shared" si="5"/>
        <v>3576.5644095665034</v>
      </c>
      <c r="T9" s="20">
        <f t="shared" ref="T9:T15" si="18">SUM(Q9)*28.67</f>
        <v>47.687525460886718</v>
      </c>
      <c r="U9" s="69">
        <f>SUM(План!C25)</f>
        <v>16969.6566666666</v>
      </c>
      <c r="V9" s="17">
        <f t="shared" si="6"/>
        <v>50908.969999999797</v>
      </c>
      <c r="W9" s="63">
        <f t="shared" si="7"/>
        <v>101817.93999999959</v>
      </c>
      <c r="X9" s="17">
        <f t="shared" si="8"/>
        <v>152726.90999999939</v>
      </c>
      <c r="Y9" s="14">
        <f t="shared" si="9"/>
        <v>203635.87999999919</v>
      </c>
      <c r="Z9" s="63">
        <v>49437.599999999999</v>
      </c>
      <c r="AA9" s="63">
        <v>65916.800000000003</v>
      </c>
      <c r="AB9" s="63">
        <v>53145.48</v>
      </c>
      <c r="AC9" s="71">
        <v>56853.36</v>
      </c>
      <c r="AD9" s="17">
        <f t="shared" si="14"/>
        <v>225353.24</v>
      </c>
    </row>
    <row r="10" spans="1:30" ht="30" x14ac:dyDescent="0.25">
      <c r="A10" s="39" t="s">
        <v>51</v>
      </c>
      <c r="B10" s="9" t="s">
        <v>37</v>
      </c>
      <c r="C10" s="17">
        <v>7172.8</v>
      </c>
      <c r="D10" s="38">
        <v>16.549045553676883</v>
      </c>
      <c r="E10" s="38">
        <f t="shared" si="10"/>
        <v>17.776977300758819</v>
      </c>
      <c r="F10" s="28">
        <f t="shared" si="15"/>
        <v>7.4199550850176529E-2</v>
      </c>
      <c r="G10" s="18">
        <f t="shared" si="16"/>
        <v>127510.70278288286</v>
      </c>
      <c r="H10" s="9" t="s">
        <v>37</v>
      </c>
      <c r="I10" s="17">
        <v>879.2</v>
      </c>
      <c r="J10" s="38">
        <v>16.549045553676883</v>
      </c>
      <c r="K10" s="38">
        <f t="shared" si="11"/>
        <v>17.776977300758819</v>
      </c>
      <c r="L10" s="28">
        <f t="shared" si="0"/>
        <v>7.4199550850176529E-2</v>
      </c>
      <c r="M10" s="18">
        <f t="shared" si="3"/>
        <v>15629.518442827155</v>
      </c>
      <c r="N10" s="9" t="s">
        <v>37</v>
      </c>
      <c r="O10" s="17">
        <v>2150.25</v>
      </c>
      <c r="P10" s="38">
        <v>16.549045553676883</v>
      </c>
      <c r="Q10" s="38">
        <f t="shared" si="12"/>
        <v>17.776977300758819</v>
      </c>
      <c r="R10" s="28">
        <f t="shared" si="17"/>
        <v>7.4199550850176529E-2</v>
      </c>
      <c r="S10" s="18">
        <f t="shared" si="5"/>
        <v>38224.945440956653</v>
      </c>
      <c r="T10" s="20">
        <f t="shared" si="18"/>
        <v>509.6659392127554</v>
      </c>
      <c r="U10" s="69">
        <f>SUM(План!C8)</f>
        <v>181365.16666666666</v>
      </c>
      <c r="V10" s="17">
        <f t="shared" si="6"/>
        <v>544095.5</v>
      </c>
      <c r="W10" s="63">
        <f t="shared" si="7"/>
        <v>1088191</v>
      </c>
      <c r="X10" s="17">
        <f t="shared" si="8"/>
        <v>1632286.5</v>
      </c>
      <c r="Y10" s="14">
        <f t="shared" si="9"/>
        <v>2176382</v>
      </c>
      <c r="Z10" s="63">
        <v>502242</v>
      </c>
      <c r="AA10" s="63">
        <v>842204.54</v>
      </c>
      <c r="AB10" s="63">
        <v>354719.63</v>
      </c>
      <c r="AC10" s="71">
        <v>502242</v>
      </c>
      <c r="AD10" s="17">
        <f t="shared" si="14"/>
        <v>2201408.17</v>
      </c>
    </row>
    <row r="11" spans="1:30" ht="30" x14ac:dyDescent="0.25">
      <c r="A11" s="39" t="s">
        <v>12</v>
      </c>
      <c r="B11" s="9" t="s">
        <v>37</v>
      </c>
      <c r="C11" s="17">
        <v>7172.8</v>
      </c>
      <c r="D11" s="38">
        <v>13.206637424751076</v>
      </c>
      <c r="E11" s="38">
        <f t="shared" si="10"/>
        <v>14.18662549927712</v>
      </c>
      <c r="F11" s="28">
        <f t="shared" si="15"/>
        <v>7.4204208308877362E-2</v>
      </c>
      <c r="G11" s="18">
        <f t="shared" si="16"/>
        <v>101757.82738121493</v>
      </c>
      <c r="H11" s="9" t="s">
        <v>37</v>
      </c>
      <c r="I11" s="17">
        <v>879.2</v>
      </c>
      <c r="J11" s="38">
        <v>13.206637424751076</v>
      </c>
      <c r="K11" s="38">
        <f t="shared" si="11"/>
        <v>14.18662549927712</v>
      </c>
      <c r="L11" s="28">
        <f t="shared" si="0"/>
        <v>7.4204208308877362E-2</v>
      </c>
      <c r="M11" s="18">
        <f t="shared" si="3"/>
        <v>12472.881138964445</v>
      </c>
      <c r="N11" s="9" t="s">
        <v>37</v>
      </c>
      <c r="O11" s="17">
        <v>2150.25</v>
      </c>
      <c r="P11" s="38">
        <v>13.206637424751076</v>
      </c>
      <c r="Q11" s="38">
        <f t="shared" si="12"/>
        <v>14.18662549927712</v>
      </c>
      <c r="R11" s="28">
        <f t="shared" si="17"/>
        <v>7.4204208308877362E-2</v>
      </c>
      <c r="S11" s="18">
        <f t="shared" si="5"/>
        <v>30504.791479820629</v>
      </c>
      <c r="T11" s="20">
        <f t="shared" si="18"/>
        <v>406.73055306427506</v>
      </c>
      <c r="U11" s="69">
        <f>SUM(План!C26)</f>
        <v>144735.5</v>
      </c>
      <c r="V11" s="17">
        <f t="shared" si="6"/>
        <v>434206.5</v>
      </c>
      <c r="W11" s="63">
        <f t="shared" si="7"/>
        <v>868413</v>
      </c>
      <c r="X11" s="17">
        <f t="shared" si="8"/>
        <v>1302619.5</v>
      </c>
      <c r="Y11" s="14">
        <f t="shared" si="9"/>
        <v>1736826</v>
      </c>
      <c r="Z11" s="63">
        <v>400806</v>
      </c>
      <c r="AA11" s="63">
        <v>342227.12</v>
      </c>
      <c r="AB11" s="63">
        <v>400806</v>
      </c>
      <c r="AC11" s="71">
        <v>400806</v>
      </c>
      <c r="AD11" s="17">
        <f t="shared" si="14"/>
        <v>1544645.12</v>
      </c>
    </row>
    <row r="12" spans="1:30" x14ac:dyDescent="0.25">
      <c r="A12" s="39" t="s">
        <v>53</v>
      </c>
      <c r="B12" s="9" t="s">
        <v>37</v>
      </c>
      <c r="C12" s="17">
        <v>7172.8</v>
      </c>
      <c r="D12" s="38">
        <v>0.82334779092847166</v>
      </c>
      <c r="E12" s="38">
        <f t="shared" si="10"/>
        <v>0.98017594158151389</v>
      </c>
      <c r="F12" s="28">
        <f t="shared" si="15"/>
        <v>0.19047619047619049</v>
      </c>
      <c r="G12" s="18">
        <f t="shared" si="16"/>
        <v>7030.6059937758828</v>
      </c>
      <c r="H12" s="9" t="s">
        <v>37</v>
      </c>
      <c r="I12" s="17">
        <v>879.2</v>
      </c>
      <c r="J12" s="38">
        <v>0.82334779092847166</v>
      </c>
      <c r="K12" s="38">
        <f t="shared" si="11"/>
        <v>0.98017594158151389</v>
      </c>
      <c r="L12" s="28">
        <f t="shared" si="0"/>
        <v>0.19047619047619049</v>
      </c>
      <c r="M12" s="18">
        <f t="shared" si="3"/>
        <v>861.7706878384671</v>
      </c>
      <c r="N12" s="9" t="s">
        <v>37</v>
      </c>
      <c r="O12" s="17">
        <v>2150.25</v>
      </c>
      <c r="P12" s="38">
        <v>0.82334779092847166</v>
      </c>
      <c r="Q12" s="38">
        <f t="shared" si="12"/>
        <v>0.98017594158151389</v>
      </c>
      <c r="R12" s="28">
        <f t="shared" si="17"/>
        <v>0.19047619047619049</v>
      </c>
      <c r="S12" s="18">
        <f t="shared" si="5"/>
        <v>2107.6233183856502</v>
      </c>
      <c r="T12" s="20">
        <f t="shared" si="18"/>
        <v>28.101644245142005</v>
      </c>
      <c r="U12" s="69">
        <f>SUM(План!C9)</f>
        <v>10000</v>
      </c>
      <c r="V12" s="17">
        <f t="shared" si="6"/>
        <v>30000</v>
      </c>
      <c r="W12" s="63">
        <f t="shared" si="7"/>
        <v>60000</v>
      </c>
      <c r="X12" s="17">
        <f t="shared" si="8"/>
        <v>90000</v>
      </c>
      <c r="Y12" s="14">
        <f t="shared" si="9"/>
        <v>120000</v>
      </c>
      <c r="Z12" s="63">
        <v>24500</v>
      </c>
      <c r="AA12" s="63">
        <v>58134</v>
      </c>
      <c r="AB12" s="63">
        <v>0</v>
      </c>
      <c r="AC12" s="71">
        <v>170000</v>
      </c>
      <c r="AD12" s="17">
        <f t="shared" si="14"/>
        <v>252634</v>
      </c>
    </row>
    <row r="13" spans="1:30" ht="30" x14ac:dyDescent="0.25">
      <c r="A13" s="39" t="s">
        <v>5</v>
      </c>
      <c r="B13" s="9" t="s">
        <v>37</v>
      </c>
      <c r="C13" s="17">
        <v>7172.8</v>
      </c>
      <c r="D13" s="38">
        <v>7.3513195618613539E-2</v>
      </c>
      <c r="E13" s="38">
        <f t="shared" si="10"/>
        <v>6.1260996348844618E-2</v>
      </c>
      <c r="F13" s="28">
        <f t="shared" si="15"/>
        <v>-0.16666666666666663</v>
      </c>
      <c r="G13" s="18">
        <f t="shared" si="16"/>
        <v>439.41287461099267</v>
      </c>
      <c r="H13" s="9" t="s">
        <v>37</v>
      </c>
      <c r="I13" s="17">
        <v>879.2</v>
      </c>
      <c r="J13" s="38">
        <v>7.3513195618613539E-2</v>
      </c>
      <c r="K13" s="38">
        <f t="shared" si="11"/>
        <v>6.1260996348844618E-2</v>
      </c>
      <c r="L13" s="28">
        <f t="shared" si="0"/>
        <v>-0.16666666666666663</v>
      </c>
      <c r="M13" s="18">
        <f t="shared" si="3"/>
        <v>53.860667989904194</v>
      </c>
      <c r="N13" s="9" t="s">
        <v>37</v>
      </c>
      <c r="O13" s="17">
        <v>2150.25</v>
      </c>
      <c r="P13" s="38">
        <v>7.3513195618613539E-2</v>
      </c>
      <c r="Q13" s="38">
        <f t="shared" si="12"/>
        <v>6.1260996348844618E-2</v>
      </c>
      <c r="R13" s="28">
        <f t="shared" si="17"/>
        <v>-0.16666666666666663</v>
      </c>
      <c r="S13" s="18">
        <f t="shared" si="5"/>
        <v>131.72645739910314</v>
      </c>
      <c r="T13" s="20">
        <f t="shared" si="18"/>
        <v>1.7563527653213753</v>
      </c>
      <c r="U13" s="69">
        <f>SUM(План!C10)</f>
        <v>625</v>
      </c>
      <c r="V13" s="17">
        <f t="shared" si="6"/>
        <v>1875</v>
      </c>
      <c r="W13" s="63">
        <f t="shared" si="7"/>
        <v>3750</v>
      </c>
      <c r="X13" s="17">
        <f t="shared" si="8"/>
        <v>5625</v>
      </c>
      <c r="Y13" s="14">
        <f t="shared" si="9"/>
        <v>7500</v>
      </c>
      <c r="Z13" s="63">
        <v>0</v>
      </c>
      <c r="AA13" s="63">
        <v>8430.5</v>
      </c>
      <c r="AB13" s="63">
        <v>2650.02</v>
      </c>
      <c r="AC13" s="63">
        <v>0</v>
      </c>
      <c r="AD13" s="17">
        <f t="shared" si="14"/>
        <v>11080.52</v>
      </c>
    </row>
    <row r="14" spans="1:30" ht="30" x14ac:dyDescent="0.25">
      <c r="A14" s="39" t="s">
        <v>44</v>
      </c>
      <c r="B14" s="9" t="s">
        <v>37</v>
      </c>
      <c r="C14" s="17">
        <v>7172.8</v>
      </c>
      <c r="D14" s="38">
        <v>0.51459236933029484</v>
      </c>
      <c r="E14" s="38">
        <f t="shared" si="10"/>
        <v>0.24504398539537847</v>
      </c>
      <c r="F14" s="28">
        <f t="shared" si="15"/>
        <v>-0.52380952380952384</v>
      </c>
      <c r="G14" s="21">
        <f t="shared" si="16"/>
        <v>1757.6514984439707</v>
      </c>
      <c r="H14" s="9" t="s">
        <v>37</v>
      </c>
      <c r="I14" s="17">
        <v>879.2</v>
      </c>
      <c r="J14" s="38">
        <v>0.51459236933029484</v>
      </c>
      <c r="K14" s="38">
        <f t="shared" si="11"/>
        <v>0.24504398539537847</v>
      </c>
      <c r="L14" s="28">
        <f t="shared" si="0"/>
        <v>-0.52380952380952384</v>
      </c>
      <c r="M14" s="18">
        <f t="shared" si="3"/>
        <v>215.44267195961677</v>
      </c>
      <c r="N14" s="9" t="s">
        <v>37</v>
      </c>
      <c r="O14" s="17">
        <v>2150.25</v>
      </c>
      <c r="P14" s="38">
        <v>0.51459236933029484</v>
      </c>
      <c r="Q14" s="38">
        <f t="shared" si="12"/>
        <v>0.24504398539537847</v>
      </c>
      <c r="R14" s="28">
        <f t="shared" si="17"/>
        <v>-0.52380952380952384</v>
      </c>
      <c r="S14" s="18">
        <f t="shared" si="5"/>
        <v>526.90582959641256</v>
      </c>
      <c r="T14" s="20">
        <f t="shared" si="18"/>
        <v>7.0254110612855012</v>
      </c>
      <c r="U14" s="69">
        <f>SUM(План!C27)</f>
        <v>2500</v>
      </c>
      <c r="V14" s="17">
        <f t="shared" si="6"/>
        <v>7500</v>
      </c>
      <c r="W14" s="63">
        <f t="shared" si="7"/>
        <v>15000</v>
      </c>
      <c r="X14" s="17">
        <f t="shared" si="8"/>
        <v>22500</v>
      </c>
      <c r="Y14" s="14">
        <f t="shared" si="9"/>
        <v>30000</v>
      </c>
      <c r="Z14" s="63">
        <v>0</v>
      </c>
      <c r="AA14" s="63">
        <v>40851</v>
      </c>
      <c r="AB14" s="63">
        <v>9806</v>
      </c>
      <c r="AC14" s="63">
        <v>0</v>
      </c>
      <c r="AD14" s="17">
        <f t="shared" si="14"/>
        <v>50657</v>
      </c>
    </row>
    <row r="15" spans="1:30" x14ac:dyDescent="0.25">
      <c r="A15" s="39" t="s">
        <v>75</v>
      </c>
      <c r="B15" s="9" t="s">
        <v>37</v>
      </c>
      <c r="C15" s="17">
        <v>7172.8</v>
      </c>
      <c r="D15" s="38">
        <v>0.49008797079075694</v>
      </c>
      <c r="E15" s="38">
        <f t="shared" si="10"/>
        <v>0.49008797079075694</v>
      </c>
      <c r="F15" s="28">
        <f t="shared" si="15"/>
        <v>0</v>
      </c>
      <c r="G15" s="21">
        <f t="shared" si="16"/>
        <v>3515.3029968879414</v>
      </c>
      <c r="H15" s="9" t="s">
        <v>37</v>
      </c>
      <c r="I15" s="17">
        <v>879.2</v>
      </c>
      <c r="J15" s="38">
        <v>0.49008797079075694</v>
      </c>
      <c r="K15" s="38">
        <f t="shared" si="11"/>
        <v>0.49008797079075694</v>
      </c>
      <c r="L15" s="28">
        <f t="shared" si="0"/>
        <v>0</v>
      </c>
      <c r="M15" s="18">
        <f t="shared" si="3"/>
        <v>430.88534391923355</v>
      </c>
      <c r="N15" s="9" t="s">
        <v>37</v>
      </c>
      <c r="O15" s="17">
        <v>2150.25</v>
      </c>
      <c r="P15" s="38">
        <v>0.49008797079075694</v>
      </c>
      <c r="Q15" s="38">
        <f t="shared" si="12"/>
        <v>0.49008797079075694</v>
      </c>
      <c r="R15" s="28">
        <f t="shared" si="17"/>
        <v>0</v>
      </c>
      <c r="S15" s="18">
        <f t="shared" ref="S15" si="19">SUM(O15*Q15)</f>
        <v>1053.8116591928251</v>
      </c>
      <c r="T15" s="20">
        <f t="shared" si="18"/>
        <v>14.050822122571002</v>
      </c>
      <c r="U15" s="69">
        <f>SUM(План!C28)</f>
        <v>5000</v>
      </c>
      <c r="V15" s="17">
        <f t="shared" si="6"/>
        <v>15000</v>
      </c>
      <c r="W15" s="63">
        <f t="shared" si="7"/>
        <v>30000</v>
      </c>
      <c r="X15" s="17">
        <f t="shared" si="8"/>
        <v>45000</v>
      </c>
      <c r="Y15" s="14">
        <f t="shared" si="9"/>
        <v>60000</v>
      </c>
      <c r="Z15" s="63">
        <v>0</v>
      </c>
      <c r="AA15" s="63">
        <v>280000</v>
      </c>
      <c r="AB15" s="63">
        <v>0</v>
      </c>
      <c r="AC15" s="63">
        <v>0</v>
      </c>
      <c r="AD15" s="17">
        <f t="shared" si="14"/>
        <v>280000</v>
      </c>
    </row>
    <row r="16" spans="1:30" x14ac:dyDescent="0.25">
      <c r="A16" s="39" t="s">
        <v>59</v>
      </c>
      <c r="B16" s="9" t="s">
        <v>37</v>
      </c>
      <c r="C16" s="17">
        <v>7172.8</v>
      </c>
      <c r="D16" s="38">
        <v>2.3286140089418779</v>
      </c>
      <c r="E16" s="38">
        <f>SUM(U16)/(C16+I16)</f>
        <v>2.3286140089418779</v>
      </c>
      <c r="F16" s="28">
        <f t="shared" si="15"/>
        <v>0</v>
      </c>
      <c r="G16" s="21">
        <f t="shared" si="16"/>
        <v>16702.682563338301</v>
      </c>
      <c r="H16" s="9" t="s">
        <v>37</v>
      </c>
      <c r="I16" s="17">
        <v>879.2</v>
      </c>
      <c r="J16" s="38">
        <v>2.3286140089418779</v>
      </c>
      <c r="K16" s="38">
        <f>SUM(U16)/(C16+I16)</f>
        <v>2.3286140089418779</v>
      </c>
      <c r="L16" s="28">
        <f t="shared" si="0"/>
        <v>0</v>
      </c>
      <c r="M16" s="21">
        <f t="shared" si="3"/>
        <v>2047.317436661699</v>
      </c>
      <c r="N16" s="9" t="s">
        <v>37</v>
      </c>
      <c r="O16" s="17">
        <v>2150.25</v>
      </c>
      <c r="P16" s="38"/>
      <c r="Q16" s="38"/>
      <c r="R16" s="28"/>
      <c r="S16" s="21"/>
      <c r="T16" s="20"/>
      <c r="U16" s="69">
        <f>SUM(План!C29)</f>
        <v>18750</v>
      </c>
      <c r="V16" s="17">
        <f t="shared" si="6"/>
        <v>56250</v>
      </c>
      <c r="W16" s="63">
        <f t="shared" si="7"/>
        <v>112500</v>
      </c>
      <c r="X16" s="17">
        <f t="shared" si="8"/>
        <v>168750</v>
      </c>
      <c r="Y16" s="14">
        <f t="shared" si="9"/>
        <v>225000</v>
      </c>
      <c r="Z16" s="63">
        <v>50000</v>
      </c>
      <c r="AA16" s="63">
        <v>60000</v>
      </c>
      <c r="AB16" s="63">
        <v>0</v>
      </c>
      <c r="AC16" s="71">
        <v>65000</v>
      </c>
      <c r="AD16" s="17">
        <f t="shared" si="14"/>
        <v>175000</v>
      </c>
    </row>
    <row r="17" spans="1:30" x14ac:dyDescent="0.25">
      <c r="A17" s="39" t="s">
        <v>41</v>
      </c>
      <c r="B17" s="9" t="s">
        <v>37</v>
      </c>
      <c r="C17" s="17">
        <v>7172.8</v>
      </c>
      <c r="D17" s="38">
        <v>4.9978117572104193</v>
      </c>
      <c r="E17" s="38">
        <f t="shared" si="10"/>
        <v>3.9207037663260553E-4</v>
      </c>
      <c r="F17" s="28">
        <f t="shared" si="15"/>
        <v>-0.99992155159184082</v>
      </c>
      <c r="G17" s="18">
        <f t="shared" si="16"/>
        <v>2.812242397510353</v>
      </c>
      <c r="H17" s="9" t="s">
        <v>37</v>
      </c>
      <c r="I17" s="17">
        <v>879.2</v>
      </c>
      <c r="J17" s="38">
        <v>4.9978117572104193</v>
      </c>
      <c r="K17" s="38">
        <f t="shared" si="11"/>
        <v>3.9207037663260553E-4</v>
      </c>
      <c r="L17" s="28">
        <f t="shared" si="0"/>
        <v>-0.99992155159184082</v>
      </c>
      <c r="M17" s="18">
        <f t="shared" si="3"/>
        <v>0.34470827513538682</v>
      </c>
      <c r="N17" s="9" t="s">
        <v>37</v>
      </c>
      <c r="O17" s="17">
        <v>2150.25</v>
      </c>
      <c r="P17" s="38">
        <v>4.9978117572104193</v>
      </c>
      <c r="Q17" s="38">
        <f t="shared" si="12"/>
        <v>3.9207037663260553E-4</v>
      </c>
      <c r="R17" s="28">
        <f t="shared" ref="R17:R28" si="20">(Q17-P17)/P17</f>
        <v>-0.99992155159184082</v>
      </c>
      <c r="S17" s="18">
        <f t="shared" ref="S17:S23" si="21">SUM(O17*Q17)</f>
        <v>0.84304932735426008</v>
      </c>
      <c r="T17" s="20">
        <f t="shared" ref="T17:T28" si="22">SUM(Q17)*28.67</f>
        <v>1.1240657698056801E-2</v>
      </c>
      <c r="U17" s="69">
        <v>4</v>
      </c>
      <c r="V17" s="17">
        <f t="shared" si="6"/>
        <v>12</v>
      </c>
      <c r="W17" s="63">
        <f t="shared" si="7"/>
        <v>24</v>
      </c>
      <c r="X17" s="17">
        <f t="shared" si="8"/>
        <v>36</v>
      </c>
      <c r="Y17" s="14">
        <f t="shared" si="9"/>
        <v>48</v>
      </c>
      <c r="Z17" s="63">
        <v>151677.09</v>
      </c>
      <c r="AA17" s="63">
        <v>253963.02</v>
      </c>
      <c r="AB17" s="63">
        <v>107125.32</v>
      </c>
      <c r="AC17" s="71">
        <v>151677.09</v>
      </c>
      <c r="AD17" s="17">
        <f t="shared" si="14"/>
        <v>664442.52</v>
      </c>
    </row>
    <row r="18" spans="1:30" ht="30" x14ac:dyDescent="0.25">
      <c r="A18" s="39" t="s">
        <v>42</v>
      </c>
      <c r="B18" s="9" t="s">
        <v>37</v>
      </c>
      <c r="C18" s="17">
        <v>7172.8</v>
      </c>
      <c r="D18" s="38">
        <v>3.9884045022748249</v>
      </c>
      <c r="E18" s="38">
        <f t="shared" si="10"/>
        <v>4.2843609007816905</v>
      </c>
      <c r="F18" s="28">
        <f t="shared" si="15"/>
        <v>7.4204208308877403E-2</v>
      </c>
      <c r="G18" s="18">
        <f t="shared" si="16"/>
        <v>30730.863869126912</v>
      </c>
      <c r="H18" s="9" t="s">
        <v>37</v>
      </c>
      <c r="I18" s="17">
        <v>879.2</v>
      </c>
      <c r="J18" s="38">
        <v>3.9884045022748249</v>
      </c>
      <c r="K18" s="38">
        <f t="shared" si="11"/>
        <v>4.2843609007816905</v>
      </c>
      <c r="L18" s="28">
        <f t="shared" si="0"/>
        <v>7.4204208308877403E-2</v>
      </c>
      <c r="M18" s="18">
        <f t="shared" si="3"/>
        <v>3766.8101039672624</v>
      </c>
      <c r="N18" s="9" t="s">
        <v>37</v>
      </c>
      <c r="O18" s="17">
        <v>2150.25</v>
      </c>
      <c r="P18" s="38">
        <v>3.9884045022748249</v>
      </c>
      <c r="Q18" s="38">
        <f t="shared" si="12"/>
        <v>4.2843609007816905</v>
      </c>
      <c r="R18" s="28">
        <f t="shared" si="20"/>
        <v>7.4204208308877403E-2</v>
      </c>
      <c r="S18" s="18">
        <f t="shared" si="21"/>
        <v>9212.4470269058293</v>
      </c>
      <c r="T18" s="20">
        <f t="shared" si="22"/>
        <v>122.83262702541107</v>
      </c>
      <c r="U18" s="69">
        <f>SUM(План!C30)</f>
        <v>43710.120999999999</v>
      </c>
      <c r="V18" s="17">
        <f t="shared" si="6"/>
        <v>131130.36300000001</v>
      </c>
      <c r="W18" s="63">
        <f t="shared" si="7"/>
        <v>262260.72600000002</v>
      </c>
      <c r="X18" s="17">
        <f t="shared" si="8"/>
        <v>393391.08900000004</v>
      </c>
      <c r="Y18" s="14">
        <f t="shared" si="9"/>
        <v>524521.45200000005</v>
      </c>
      <c r="Z18" s="63">
        <v>121043.4</v>
      </c>
      <c r="AA18" s="63">
        <v>103469.82</v>
      </c>
      <c r="AB18" s="63">
        <v>121043.41</v>
      </c>
      <c r="AC18" s="71">
        <v>121043.4</v>
      </c>
      <c r="AD18" s="17">
        <f t="shared" si="14"/>
        <v>466600.03</v>
      </c>
    </row>
    <row r="19" spans="1:30" x14ac:dyDescent="0.25">
      <c r="A19" s="39" t="s">
        <v>19</v>
      </c>
      <c r="B19" s="9" t="s">
        <v>37</v>
      </c>
      <c r="C19" s="17">
        <v>7172.8</v>
      </c>
      <c r="D19" s="38">
        <v>12.686653050412669</v>
      </c>
      <c r="E19" s="38">
        <f>SUM((S19)*81.5%)/C19</f>
        <v>12.254883030336828</v>
      </c>
      <c r="F19" s="28">
        <f t="shared" si="15"/>
        <v>-3.4033406475303361E-2</v>
      </c>
      <c r="G19" s="18">
        <f t="shared" si="16"/>
        <v>87901.824999999997</v>
      </c>
      <c r="H19" s="9" t="s">
        <v>37</v>
      </c>
      <c r="I19" s="17">
        <v>879.2</v>
      </c>
      <c r="J19" s="38">
        <v>23.494284576888077</v>
      </c>
      <c r="K19" s="38">
        <f>SUM((S19)*18.5%)/I19</f>
        <v>22.694694040036396</v>
      </c>
      <c r="L19" s="28">
        <f t="shared" si="0"/>
        <v>-3.403340647530332E-2</v>
      </c>
      <c r="M19" s="18">
        <f t="shared" si="3"/>
        <v>19953.174999999999</v>
      </c>
      <c r="N19" s="9" t="s">
        <v>37</v>
      </c>
      <c r="O19" s="17">
        <v>2150.25</v>
      </c>
      <c r="P19" s="38">
        <v>51.926520172073012</v>
      </c>
      <c r="Q19" s="38">
        <f>SUM(U19/2)/O19</f>
        <v>50.159283804208812</v>
      </c>
      <c r="R19" s="28">
        <f t="shared" si="20"/>
        <v>-3.4033406475303354E-2</v>
      </c>
      <c r="S19" s="18">
        <f>SUM(O19*Q19)</f>
        <v>107855</v>
      </c>
      <c r="T19" s="20">
        <f t="shared" si="22"/>
        <v>1438.0666666666668</v>
      </c>
      <c r="U19" s="69">
        <f>SUM(План!C31)</f>
        <v>215710</v>
      </c>
      <c r="V19" s="17">
        <f t="shared" si="6"/>
        <v>647130</v>
      </c>
      <c r="W19" s="63">
        <f t="shared" si="7"/>
        <v>1294260</v>
      </c>
      <c r="X19" s="17">
        <f t="shared" si="8"/>
        <v>1941390</v>
      </c>
      <c r="Y19" s="14">
        <f t="shared" si="9"/>
        <v>2588520</v>
      </c>
      <c r="Z19" s="63">
        <v>591480</v>
      </c>
      <c r="AA19" s="63">
        <v>686880</v>
      </c>
      <c r="AB19" s="63">
        <v>686880</v>
      </c>
      <c r="AC19" s="71">
        <v>623280</v>
      </c>
      <c r="AD19" s="17">
        <f t="shared" si="14"/>
        <v>2588520</v>
      </c>
    </row>
    <row r="20" spans="1:30" x14ac:dyDescent="0.25">
      <c r="A20" s="39" t="s">
        <v>9</v>
      </c>
      <c r="B20" s="9" t="s">
        <v>37</v>
      </c>
      <c r="C20" s="17">
        <v>7172.8</v>
      </c>
      <c r="D20" s="38">
        <v>8.576539488838246E-2</v>
      </c>
      <c r="E20" s="38">
        <f t="shared" si="10"/>
        <v>8.576539488838246E-2</v>
      </c>
      <c r="F20" s="28">
        <f t="shared" si="15"/>
        <v>0</v>
      </c>
      <c r="G20" s="18">
        <f t="shared" si="16"/>
        <v>615.17802445538973</v>
      </c>
      <c r="H20" s="9" t="s">
        <v>37</v>
      </c>
      <c r="I20" s="17">
        <v>879.2</v>
      </c>
      <c r="J20" s="38">
        <v>8.576539488838246E-2</v>
      </c>
      <c r="K20" s="38">
        <f t="shared" si="11"/>
        <v>8.576539488838246E-2</v>
      </c>
      <c r="L20" s="28">
        <f t="shared" si="0"/>
        <v>0</v>
      </c>
      <c r="M20" s="18">
        <f t="shared" si="3"/>
        <v>75.404935185865867</v>
      </c>
      <c r="N20" s="9" t="s">
        <v>37</v>
      </c>
      <c r="O20" s="17">
        <v>2150.25</v>
      </c>
      <c r="P20" s="38">
        <v>8.576539488838246E-2</v>
      </c>
      <c r="Q20" s="38">
        <f t="shared" si="12"/>
        <v>8.576539488838246E-2</v>
      </c>
      <c r="R20" s="28">
        <f t="shared" si="20"/>
        <v>0</v>
      </c>
      <c r="S20" s="18">
        <f t="shared" si="21"/>
        <v>184.41704035874437</v>
      </c>
      <c r="T20" s="20">
        <f t="shared" si="22"/>
        <v>2.4588938714499253</v>
      </c>
      <c r="U20" s="69">
        <f>SUM(План!C12)</f>
        <v>875</v>
      </c>
      <c r="V20" s="17">
        <f t="shared" si="6"/>
        <v>2625</v>
      </c>
      <c r="W20" s="63">
        <f t="shared" si="7"/>
        <v>5250</v>
      </c>
      <c r="X20" s="17">
        <f t="shared" si="8"/>
        <v>7875</v>
      </c>
      <c r="Y20" s="14">
        <f t="shared" si="9"/>
        <v>10500</v>
      </c>
      <c r="Z20" s="63">
        <v>7375</v>
      </c>
      <c r="AA20" s="63">
        <v>0</v>
      </c>
      <c r="AB20" s="63">
        <v>0</v>
      </c>
      <c r="AC20" s="63">
        <v>4200</v>
      </c>
      <c r="AD20" s="17">
        <f t="shared" si="14"/>
        <v>11575</v>
      </c>
    </row>
    <row r="21" spans="1:30" x14ac:dyDescent="0.25">
      <c r="A21" s="39" t="s">
        <v>10</v>
      </c>
      <c r="B21" s="9" t="s">
        <v>37</v>
      </c>
      <c r="C21" s="17">
        <v>7172.8</v>
      </c>
      <c r="D21" s="38">
        <v>0.67832095861207087</v>
      </c>
      <c r="E21" s="38">
        <f t="shared" si="10"/>
        <v>0.87937301412270141</v>
      </c>
      <c r="F21" s="28">
        <f t="shared" si="15"/>
        <v>0.29639664373928248</v>
      </c>
      <c r="G21" s="18">
        <f t="shared" si="16"/>
        <v>6307.566755699313</v>
      </c>
      <c r="H21" s="9" t="s">
        <v>37</v>
      </c>
      <c r="I21" s="17">
        <v>879.2</v>
      </c>
      <c r="J21" s="38">
        <v>0.67832095861207087</v>
      </c>
      <c r="K21" s="38">
        <f t="shared" si="11"/>
        <v>0.87937301412270141</v>
      </c>
      <c r="L21" s="28">
        <f t="shared" si="0"/>
        <v>0.29639664373928248</v>
      </c>
      <c r="M21" s="18">
        <f t="shared" si="3"/>
        <v>773.14475401667914</v>
      </c>
      <c r="N21" s="9" t="s">
        <v>37</v>
      </c>
      <c r="O21" s="17">
        <v>2150.25</v>
      </c>
      <c r="P21" s="38">
        <v>0.67832095861207087</v>
      </c>
      <c r="Q21" s="38">
        <f t="shared" si="12"/>
        <v>0.87937301412270141</v>
      </c>
      <c r="R21" s="28">
        <f t="shared" si="20"/>
        <v>0.29639664373928248</v>
      </c>
      <c r="S21" s="18">
        <f t="shared" si="21"/>
        <v>1890.8718236173388</v>
      </c>
      <c r="T21" s="20">
        <f t="shared" si="22"/>
        <v>25.21162431489785</v>
      </c>
      <c r="U21" s="69">
        <f>SUM(План!C13)</f>
        <v>8971.5833333333303</v>
      </c>
      <c r="V21" s="17">
        <f t="shared" si="6"/>
        <v>26914.749999999993</v>
      </c>
      <c r="W21" s="63">
        <f t="shared" si="7"/>
        <v>53829.499999999985</v>
      </c>
      <c r="X21" s="17">
        <f t="shared" si="8"/>
        <v>80744.249999999971</v>
      </c>
      <c r="Y21" s="14">
        <f t="shared" si="9"/>
        <v>107658.99999999997</v>
      </c>
      <c r="Z21" s="63">
        <v>6000</v>
      </c>
      <c r="AA21" s="63">
        <v>6000</v>
      </c>
      <c r="AB21" s="63">
        <v>22849</v>
      </c>
      <c r="AC21" s="71">
        <v>16904</v>
      </c>
      <c r="AD21" s="17">
        <f t="shared" si="14"/>
        <v>51753</v>
      </c>
    </row>
    <row r="22" spans="1:30" x14ac:dyDescent="0.25">
      <c r="A22" s="39" t="s">
        <v>7</v>
      </c>
      <c r="B22" s="9" t="s">
        <v>37</v>
      </c>
      <c r="C22" s="17">
        <v>7172.8</v>
      </c>
      <c r="D22" s="38">
        <v>0.34306157955352984</v>
      </c>
      <c r="E22" s="38">
        <f t="shared" si="10"/>
        <v>0.39207037663260558</v>
      </c>
      <c r="F22" s="28">
        <f t="shared" si="15"/>
        <v>0.14285714285714299</v>
      </c>
      <c r="G22" s="18">
        <f t="shared" si="16"/>
        <v>2812.2423975103534</v>
      </c>
      <c r="H22" s="9" t="s">
        <v>37</v>
      </c>
      <c r="I22" s="17">
        <v>879.2</v>
      </c>
      <c r="J22" s="38">
        <v>0.34306157955352984</v>
      </c>
      <c r="K22" s="38">
        <f t="shared" si="11"/>
        <v>0.39207037663260558</v>
      </c>
      <c r="L22" s="28">
        <f t="shared" si="0"/>
        <v>0.14285714285714299</v>
      </c>
      <c r="M22" s="18">
        <f t="shared" si="3"/>
        <v>344.70827513538683</v>
      </c>
      <c r="N22" s="9" t="s">
        <v>37</v>
      </c>
      <c r="O22" s="17">
        <v>2150.25</v>
      </c>
      <c r="P22" s="38">
        <v>0.34306157955352984</v>
      </c>
      <c r="Q22" s="38">
        <f t="shared" si="12"/>
        <v>0.39207037663260558</v>
      </c>
      <c r="R22" s="28">
        <f t="shared" si="20"/>
        <v>0.14285714285714299</v>
      </c>
      <c r="S22" s="18">
        <f t="shared" si="21"/>
        <v>843.04932735426019</v>
      </c>
      <c r="T22" s="20">
        <f t="shared" si="22"/>
        <v>11.240657698056802</v>
      </c>
      <c r="U22" s="69">
        <f>SUM(План!C14)</f>
        <v>4000</v>
      </c>
      <c r="V22" s="17">
        <f t="shared" si="6"/>
        <v>12000</v>
      </c>
      <c r="W22" s="63">
        <f t="shared" si="7"/>
        <v>24000</v>
      </c>
      <c r="X22" s="17">
        <f t="shared" si="8"/>
        <v>36000</v>
      </c>
      <c r="Y22" s="14">
        <f t="shared" si="9"/>
        <v>48000</v>
      </c>
      <c r="Z22" s="63">
        <v>13484.74</v>
      </c>
      <c r="AA22" s="63">
        <v>11924.21</v>
      </c>
      <c r="AB22" s="63">
        <v>8919.81</v>
      </c>
      <c r="AC22" s="71">
        <v>11305.64</v>
      </c>
      <c r="AD22" s="17">
        <f t="shared" si="14"/>
        <v>45634.399999999994</v>
      </c>
    </row>
    <row r="23" spans="1:30" x14ac:dyDescent="0.25">
      <c r="A23" s="39" t="s">
        <v>20</v>
      </c>
      <c r="B23" s="9" t="s">
        <v>37</v>
      </c>
      <c r="C23" s="17">
        <v>7172.8</v>
      </c>
      <c r="D23" s="38">
        <v>2.0560150947095002</v>
      </c>
      <c r="E23" s="38">
        <f t="shared" si="10"/>
        <v>2.0682671306166092</v>
      </c>
      <c r="F23" s="28">
        <f t="shared" si="15"/>
        <v>5.9591176828592864E-3</v>
      </c>
      <c r="G23" s="18">
        <f t="shared" si="16"/>
        <v>14835.266474486814</v>
      </c>
      <c r="H23" s="9" t="s">
        <v>37</v>
      </c>
      <c r="I23" s="17">
        <v>879.2</v>
      </c>
      <c r="J23" s="38">
        <v>2.0560150947095002</v>
      </c>
      <c r="K23" s="38">
        <f t="shared" si="11"/>
        <v>2.0682671306166092</v>
      </c>
      <c r="L23" s="28">
        <f t="shared" si="0"/>
        <v>5.9591176828592864E-3</v>
      </c>
      <c r="M23" s="18">
        <f t="shared" si="3"/>
        <v>1818.4204612381229</v>
      </c>
      <c r="N23" s="9" t="s">
        <v>37</v>
      </c>
      <c r="O23" s="17">
        <v>2150.25</v>
      </c>
      <c r="P23" s="38">
        <v>2.0560150947095002</v>
      </c>
      <c r="Q23" s="38">
        <f t="shared" si="12"/>
        <v>2.0682671306166092</v>
      </c>
      <c r="R23" s="28">
        <f t="shared" si="20"/>
        <v>5.9591176828592864E-3</v>
      </c>
      <c r="S23" s="18">
        <f t="shared" si="21"/>
        <v>4447.2913976083637</v>
      </c>
      <c r="T23" s="20">
        <f t="shared" si="22"/>
        <v>59.29721863477819</v>
      </c>
      <c r="U23" s="69">
        <f>SUM(План!C32)</f>
        <v>21100.9783333333</v>
      </c>
      <c r="V23" s="17">
        <f t="shared" si="6"/>
        <v>63302.934999999896</v>
      </c>
      <c r="W23" s="63">
        <f t="shared" si="7"/>
        <v>126605.86999999979</v>
      </c>
      <c r="X23" s="17">
        <f t="shared" si="8"/>
        <v>189908.8049999997</v>
      </c>
      <c r="Y23" s="14">
        <f t="shared" si="9"/>
        <v>253211.73999999958</v>
      </c>
      <c r="Z23" s="63">
        <v>76575.02</v>
      </c>
      <c r="AA23" s="63">
        <v>58878.9</v>
      </c>
      <c r="AB23" s="63">
        <v>58878.9</v>
      </c>
      <c r="AC23" s="71">
        <v>62326.3</v>
      </c>
      <c r="AD23" s="17">
        <f t="shared" si="14"/>
        <v>256659.12</v>
      </c>
    </row>
    <row r="24" spans="1:30" x14ac:dyDescent="0.25">
      <c r="A24" s="39" t="s">
        <v>6</v>
      </c>
      <c r="B24" s="9" t="s">
        <v>37</v>
      </c>
      <c r="C24" s="17">
        <v>7172.8</v>
      </c>
      <c r="D24" s="38">
        <v>8.1681001739812298E-2</v>
      </c>
      <c r="E24" s="38">
        <f t="shared" si="10"/>
        <v>8.168132846185891E-2</v>
      </c>
      <c r="F24" s="28">
        <f t="shared" si="15"/>
        <v>3.9999759999592941E-6</v>
      </c>
      <c r="G24" s="18">
        <f t="shared" si="16"/>
        <v>585.88383279122161</v>
      </c>
      <c r="H24" s="9" t="s">
        <v>37</v>
      </c>
      <c r="I24" s="17">
        <v>879.2</v>
      </c>
      <c r="J24" s="38">
        <v>8.1681001739812298E-2</v>
      </c>
      <c r="K24" s="38">
        <f t="shared" si="11"/>
        <v>8.168132846185891E-2</v>
      </c>
      <c r="L24" s="28">
        <f t="shared" si="0"/>
        <v>3.9999759999592941E-6</v>
      </c>
      <c r="M24" s="18">
        <f t="shared" si="3"/>
        <v>71.814223983666352</v>
      </c>
      <c r="N24" s="9" t="s">
        <v>37</v>
      </c>
      <c r="O24" s="17">
        <v>2150.25</v>
      </c>
      <c r="P24" s="38">
        <v>8.1681001739812298E-2</v>
      </c>
      <c r="Q24" s="38">
        <f t="shared" si="12"/>
        <v>8.168132846185891E-2</v>
      </c>
      <c r="R24" s="28">
        <f t="shared" si="20"/>
        <v>3.9999759999592941E-6</v>
      </c>
      <c r="S24" s="18">
        <f>SUM(O24*Q24)</f>
        <v>175.63527652511212</v>
      </c>
      <c r="T24" s="20">
        <f t="shared" si="22"/>
        <v>2.3418036870014949</v>
      </c>
      <c r="U24" s="69">
        <f>SUM(План!C15)</f>
        <v>833.33333330000005</v>
      </c>
      <c r="V24" s="17">
        <f t="shared" si="6"/>
        <v>2499.9999999000001</v>
      </c>
      <c r="W24" s="63">
        <f t="shared" si="7"/>
        <v>4999.9999998000003</v>
      </c>
      <c r="X24" s="17">
        <f t="shared" si="8"/>
        <v>7499.9999997000004</v>
      </c>
      <c r="Y24" s="14">
        <f t="shared" si="9"/>
        <v>9999.9999996000006</v>
      </c>
      <c r="Z24" s="63">
        <v>9149</v>
      </c>
      <c r="AA24" s="63">
        <v>5124</v>
      </c>
      <c r="AB24" s="63">
        <v>0</v>
      </c>
      <c r="AC24" s="63">
        <v>0</v>
      </c>
      <c r="AD24" s="17">
        <f t="shared" si="14"/>
        <v>14273</v>
      </c>
    </row>
    <row r="25" spans="1:30" x14ac:dyDescent="0.25">
      <c r="A25" s="39" t="s">
        <v>29</v>
      </c>
      <c r="B25" s="9" t="s">
        <v>37</v>
      </c>
      <c r="C25" s="17">
        <v>7172.8</v>
      </c>
      <c r="D25" s="38">
        <v>19.309466049155823</v>
      </c>
      <c r="E25" s="38">
        <f t="shared" si="10"/>
        <v>19.309466049155823</v>
      </c>
      <c r="F25" s="28">
        <f t="shared" si="15"/>
        <v>0</v>
      </c>
      <c r="G25" s="18">
        <f t="shared" si="16"/>
        <v>138502.9380773849</v>
      </c>
      <c r="H25" s="9" t="s">
        <v>37</v>
      </c>
      <c r="I25" s="17">
        <v>879.2</v>
      </c>
      <c r="J25" s="38">
        <v>19.309466049155823</v>
      </c>
      <c r="K25" s="38">
        <f t="shared" si="11"/>
        <v>19.309466049155823</v>
      </c>
      <c r="L25" s="28">
        <f t="shared" si="0"/>
        <v>0</v>
      </c>
      <c r="M25" s="18">
        <f t="shared" si="3"/>
        <v>16976.882550417802</v>
      </c>
      <c r="N25" s="9" t="s">
        <v>37</v>
      </c>
      <c r="O25" s="17">
        <v>2150.25</v>
      </c>
      <c r="P25" s="38">
        <v>19.309466049155823</v>
      </c>
      <c r="Q25" s="38">
        <f t="shared" si="12"/>
        <v>19.309466049155823</v>
      </c>
      <c r="R25" s="28">
        <f t="shared" si="20"/>
        <v>0</v>
      </c>
      <c r="S25" s="18">
        <f>SUM(O25*Q25)</f>
        <v>41520.179372197308</v>
      </c>
      <c r="T25" s="20">
        <f t="shared" si="22"/>
        <v>553.60239162929747</v>
      </c>
      <c r="U25" s="69">
        <f>SUM(План!C33)</f>
        <v>197000</v>
      </c>
      <c r="V25" s="17">
        <f t="shared" si="6"/>
        <v>591000</v>
      </c>
      <c r="W25" s="63">
        <f t="shared" si="7"/>
        <v>1182000</v>
      </c>
      <c r="X25" s="17">
        <f t="shared" si="8"/>
        <v>1773000</v>
      </c>
      <c r="Y25" s="14">
        <f t="shared" si="9"/>
        <v>2364000</v>
      </c>
      <c r="Z25" s="63">
        <v>1067330.8799999999</v>
      </c>
      <c r="AA25" s="63">
        <v>180398</v>
      </c>
      <c r="AB25" s="63">
        <v>43450</v>
      </c>
      <c r="AC25" s="71">
        <v>345388.7</v>
      </c>
      <c r="AD25" s="17">
        <f t="shared" si="14"/>
        <v>1636567.5799999998</v>
      </c>
    </row>
    <row r="26" spans="1:30" x14ac:dyDescent="0.25">
      <c r="A26" s="39" t="s">
        <v>30</v>
      </c>
      <c r="B26" s="9" t="s">
        <v>37</v>
      </c>
      <c r="C26" s="17">
        <v>7172.8</v>
      </c>
      <c r="D26" s="38">
        <v>2.2053958685584063</v>
      </c>
      <c r="E26" s="38">
        <f t="shared" si="10"/>
        <v>2.2053958685584063</v>
      </c>
      <c r="F26" s="28">
        <f t="shared" si="15"/>
        <v>0</v>
      </c>
      <c r="G26" s="18">
        <f t="shared" si="16"/>
        <v>15818.863485995736</v>
      </c>
      <c r="H26" s="9" t="s">
        <v>37</v>
      </c>
      <c r="I26" s="17">
        <v>879.2</v>
      </c>
      <c r="J26" s="38">
        <v>2.2053958685584063</v>
      </c>
      <c r="K26" s="38">
        <f t="shared" si="11"/>
        <v>2.2053958685584063</v>
      </c>
      <c r="L26" s="28">
        <f t="shared" si="0"/>
        <v>0</v>
      </c>
      <c r="M26" s="18">
        <f t="shared" si="3"/>
        <v>1938.9840476365509</v>
      </c>
      <c r="N26" s="9" t="s">
        <v>37</v>
      </c>
      <c r="O26" s="17">
        <v>2150.25</v>
      </c>
      <c r="P26" s="38">
        <v>2.2053958685584063</v>
      </c>
      <c r="Q26" s="38">
        <f t="shared" si="12"/>
        <v>2.2053958685584063</v>
      </c>
      <c r="R26" s="28">
        <f t="shared" si="20"/>
        <v>0</v>
      </c>
      <c r="S26" s="18">
        <f>SUM(O26*Q26)</f>
        <v>4742.1524663677128</v>
      </c>
      <c r="T26" s="20">
        <f t="shared" si="22"/>
        <v>63.228699551569512</v>
      </c>
      <c r="U26" s="69">
        <f>SUM(План!C34)</f>
        <v>22500</v>
      </c>
      <c r="V26" s="17">
        <f t="shared" si="6"/>
        <v>67500</v>
      </c>
      <c r="W26" s="63">
        <f t="shared" si="7"/>
        <v>135000</v>
      </c>
      <c r="X26" s="17">
        <f t="shared" si="8"/>
        <v>202500</v>
      </c>
      <c r="Y26" s="14">
        <f t="shared" si="9"/>
        <v>270000</v>
      </c>
      <c r="Z26" s="63">
        <v>59828.82</v>
      </c>
      <c r="AA26" s="63">
        <v>254890.3</v>
      </c>
      <c r="AB26" s="63">
        <v>290916.08</v>
      </c>
      <c r="AC26" s="71">
        <v>39063.699999999997</v>
      </c>
      <c r="AD26" s="17">
        <f t="shared" si="14"/>
        <v>644698.89999999991</v>
      </c>
    </row>
    <row r="27" spans="1:30" ht="30" x14ac:dyDescent="0.25">
      <c r="A27" s="39" t="s">
        <v>58</v>
      </c>
      <c r="B27" s="9" t="s">
        <v>37</v>
      </c>
      <c r="C27" s="17">
        <v>7172.8</v>
      </c>
      <c r="D27" s="38">
        <v>0.48795449475797453</v>
      </c>
      <c r="E27" s="38">
        <f>3500/C27</f>
        <v>0.48795449475797453</v>
      </c>
      <c r="F27" s="28">
        <f t="shared" si="15"/>
        <v>0</v>
      </c>
      <c r="G27" s="18">
        <f t="shared" si="16"/>
        <v>3500</v>
      </c>
      <c r="H27" s="9" t="s">
        <v>37</v>
      </c>
      <c r="I27" s="17">
        <v>879.2</v>
      </c>
      <c r="J27" s="38">
        <v>5.3276997474789161</v>
      </c>
      <c r="K27" s="38">
        <f>SUM(U27-G27)/(I27+O27)</f>
        <v>5.3276997474789161</v>
      </c>
      <c r="L27" s="28">
        <f t="shared" si="0"/>
        <v>0</v>
      </c>
      <c r="M27" s="18">
        <f t="shared" si="3"/>
        <v>4684.113617983463</v>
      </c>
      <c r="N27" s="9" t="s">
        <v>37</v>
      </c>
      <c r="O27" s="17">
        <v>2150.25</v>
      </c>
      <c r="P27" s="38">
        <v>5.3276997474789161</v>
      </c>
      <c r="Q27" s="38">
        <f>SUM(U27-G27)/(I27+O27)</f>
        <v>5.3276997474789161</v>
      </c>
      <c r="R27" s="28">
        <f t="shared" si="20"/>
        <v>0</v>
      </c>
      <c r="S27" s="18">
        <f>SUM(O27*Q27)</f>
        <v>11455.886382016539</v>
      </c>
      <c r="T27" s="20">
        <f t="shared" si="22"/>
        <v>152.74515176022052</v>
      </c>
      <c r="U27" s="69">
        <f>SUM(План!C35)</f>
        <v>19640</v>
      </c>
      <c r="V27" s="17">
        <f t="shared" si="6"/>
        <v>58920</v>
      </c>
      <c r="W27" s="63">
        <f t="shared" si="7"/>
        <v>117840</v>
      </c>
      <c r="X27" s="17">
        <f t="shared" si="8"/>
        <v>176760</v>
      </c>
      <c r="Y27" s="14">
        <f t="shared" si="9"/>
        <v>235680</v>
      </c>
      <c r="Z27" s="63">
        <v>45000</v>
      </c>
      <c r="AA27" s="63">
        <v>60200</v>
      </c>
      <c r="AB27" s="63">
        <v>45000</v>
      </c>
      <c r="AC27" s="71">
        <v>45000</v>
      </c>
      <c r="AD27" s="17">
        <f t="shared" si="14"/>
        <v>195200</v>
      </c>
    </row>
    <row r="28" spans="1:30" x14ac:dyDescent="0.25">
      <c r="A28" s="10" t="s">
        <v>24</v>
      </c>
      <c r="B28" s="9" t="s">
        <v>37</v>
      </c>
      <c r="C28" s="17">
        <v>4245.5</v>
      </c>
      <c r="D28" s="38">
        <v>1.6795784258151205</v>
      </c>
      <c r="E28" s="38">
        <f t="shared" si="10"/>
        <v>1.8327731920265156</v>
      </c>
      <c r="F28" s="28">
        <f t="shared" si="15"/>
        <v>9.1210248867686972E-2</v>
      </c>
      <c r="G28" s="18">
        <f t="shared" si="16"/>
        <v>7781.038586748572</v>
      </c>
      <c r="H28" s="9" t="s">
        <v>37</v>
      </c>
      <c r="I28" s="17">
        <v>879.2</v>
      </c>
      <c r="J28" s="38">
        <v>1.6795784258151205</v>
      </c>
      <c r="K28" s="38">
        <f t="shared" si="11"/>
        <v>1.8327731920265156</v>
      </c>
      <c r="L28" s="28">
        <f t="shared" si="0"/>
        <v>9.1210248867686972E-2</v>
      </c>
      <c r="M28" s="18">
        <f t="shared" si="3"/>
        <v>1611.3741904297126</v>
      </c>
      <c r="N28" s="9" t="s">
        <v>37</v>
      </c>
      <c r="O28" s="17">
        <v>2150.25</v>
      </c>
      <c r="P28" s="38">
        <v>1.6795784258151205</v>
      </c>
      <c r="Q28" s="38">
        <f t="shared" si="12"/>
        <v>1.8327731920265156</v>
      </c>
      <c r="R28" s="28">
        <f t="shared" si="20"/>
        <v>9.1210248867686972E-2</v>
      </c>
      <c r="S28" s="18">
        <f>SUM(O28*Q28)</f>
        <v>3940.9205561550152</v>
      </c>
      <c r="T28" s="20">
        <f t="shared" si="22"/>
        <v>52.545607415400205</v>
      </c>
      <c r="U28" s="69">
        <f>SUM(План!C36)</f>
        <v>13333.333333333299</v>
      </c>
      <c r="V28" s="17">
        <f t="shared" si="6"/>
        <v>39999.999999999898</v>
      </c>
      <c r="W28" s="63">
        <f t="shared" si="7"/>
        <v>79999.999999999796</v>
      </c>
      <c r="X28" s="17">
        <f t="shared" si="8"/>
        <v>119999.99999999969</v>
      </c>
      <c r="Y28" s="14">
        <f t="shared" si="9"/>
        <v>159999.99999999959</v>
      </c>
      <c r="Z28" s="63">
        <v>0</v>
      </c>
      <c r="AA28" s="63">
        <v>65000</v>
      </c>
      <c r="AB28" s="63">
        <v>115000</v>
      </c>
      <c r="AC28" s="63">
        <v>0</v>
      </c>
      <c r="AD28" s="17">
        <f t="shared" si="14"/>
        <v>180000</v>
      </c>
    </row>
    <row r="29" spans="1:30" x14ac:dyDescent="0.25">
      <c r="A29" s="10" t="s">
        <v>77</v>
      </c>
      <c r="B29" s="9" t="s">
        <v>37</v>
      </c>
      <c r="C29" s="17">
        <v>7172.8</v>
      </c>
      <c r="D29" s="38">
        <v>0.57160383671648451</v>
      </c>
      <c r="E29" s="38">
        <f>U29/C29</f>
        <v>0.57160383671648451</v>
      </c>
      <c r="F29" s="28">
        <f t="shared" si="15"/>
        <v>0</v>
      </c>
      <c r="G29" s="18">
        <f t="shared" si="16"/>
        <v>4100</v>
      </c>
      <c r="H29" s="9" t="s">
        <v>37</v>
      </c>
      <c r="I29" s="17">
        <v>879.2</v>
      </c>
      <c r="J29" s="38"/>
      <c r="K29" s="38"/>
      <c r="L29" s="28"/>
      <c r="M29" s="18">
        <f t="shared" si="3"/>
        <v>0</v>
      </c>
      <c r="N29" s="9" t="s">
        <v>37</v>
      </c>
      <c r="O29" s="17">
        <v>2150.25</v>
      </c>
      <c r="P29" s="38"/>
      <c r="Q29" s="38"/>
      <c r="R29" s="28"/>
      <c r="S29" s="21"/>
      <c r="T29" s="20"/>
      <c r="U29" s="70">
        <f>SUM(План!C37)</f>
        <v>4100</v>
      </c>
      <c r="V29" s="17">
        <f t="shared" si="6"/>
        <v>12300</v>
      </c>
      <c r="W29" s="63">
        <f t="shared" si="7"/>
        <v>24600</v>
      </c>
      <c r="X29" s="17">
        <f t="shared" si="8"/>
        <v>36900</v>
      </c>
      <c r="Y29" s="14">
        <f t="shared" si="9"/>
        <v>49200</v>
      </c>
      <c r="Z29" s="63">
        <v>12300</v>
      </c>
      <c r="AA29" s="63">
        <v>12300</v>
      </c>
      <c r="AB29" s="63">
        <v>12300</v>
      </c>
      <c r="AC29" s="71">
        <v>12300</v>
      </c>
      <c r="AD29" s="17">
        <f t="shared" si="14"/>
        <v>49200</v>
      </c>
    </row>
    <row r="30" spans="1:30" x14ac:dyDescent="0.25">
      <c r="A30" s="10" t="s">
        <v>28</v>
      </c>
      <c r="B30" s="9" t="s">
        <v>37</v>
      </c>
      <c r="C30" s="17">
        <v>7172.8</v>
      </c>
      <c r="D30" s="38">
        <v>1.0928961748633881</v>
      </c>
      <c r="E30" s="38">
        <f>SUM(U30)/(C30+I30)</f>
        <v>1.0928961748633881</v>
      </c>
      <c r="F30" s="28">
        <f t="shared" si="15"/>
        <v>0</v>
      </c>
      <c r="G30" s="18">
        <f t="shared" si="16"/>
        <v>7839.1256830601105</v>
      </c>
      <c r="H30" s="9" t="s">
        <v>37</v>
      </c>
      <c r="I30" s="17">
        <v>879.2</v>
      </c>
      <c r="J30" s="38">
        <v>1.0928961748633881</v>
      </c>
      <c r="K30" s="38">
        <f>SUM(U30)/(C30+I30)</f>
        <v>1.0928961748633881</v>
      </c>
      <c r="L30" s="28">
        <f t="shared" ref="L30:L31" si="23">(K30-J30)/J30</f>
        <v>0</v>
      </c>
      <c r="M30" s="18">
        <f t="shared" si="3"/>
        <v>960.87431693989083</v>
      </c>
      <c r="N30" s="9" t="s">
        <v>37</v>
      </c>
      <c r="O30" s="17">
        <v>2150.25</v>
      </c>
      <c r="P30" s="38"/>
      <c r="Q30" s="38"/>
      <c r="R30" s="28"/>
      <c r="S30" s="21"/>
      <c r="T30" s="20"/>
      <c r="U30" s="70">
        <f>SUM(План!C38)</f>
        <v>8800</v>
      </c>
      <c r="V30" s="17">
        <f t="shared" si="6"/>
        <v>26400</v>
      </c>
      <c r="W30" s="63">
        <f t="shared" si="7"/>
        <v>52800</v>
      </c>
      <c r="X30" s="17">
        <f t="shared" si="8"/>
        <v>79200</v>
      </c>
      <c r="Y30" s="14">
        <f t="shared" si="9"/>
        <v>105600</v>
      </c>
      <c r="Z30" s="58">
        <v>26400</v>
      </c>
      <c r="AA30" s="58">
        <v>26400</v>
      </c>
      <c r="AB30" s="58">
        <v>26400</v>
      </c>
      <c r="AC30" s="71">
        <v>26400</v>
      </c>
      <c r="AD30" s="17">
        <f t="shared" si="14"/>
        <v>105600</v>
      </c>
    </row>
    <row r="31" spans="1:30" x14ac:dyDescent="0.25">
      <c r="A31" s="10" t="s">
        <v>8</v>
      </c>
      <c r="B31" s="9" t="s">
        <v>37</v>
      </c>
      <c r="C31" s="17">
        <v>7172.8</v>
      </c>
      <c r="D31" s="38">
        <v>6.8612315910705976E-2</v>
      </c>
      <c r="E31" s="38">
        <f t="shared" si="10"/>
        <v>4.7375170509773135E-2</v>
      </c>
      <c r="F31" s="28">
        <f t="shared" si="15"/>
        <v>-0.30952380952381009</v>
      </c>
      <c r="G31" s="18">
        <f t="shared" si="16"/>
        <v>339.81262303250077</v>
      </c>
      <c r="H31" s="9" t="s">
        <v>37</v>
      </c>
      <c r="I31" s="17">
        <v>879.2</v>
      </c>
      <c r="J31" s="38">
        <v>6.8612315910705976E-2</v>
      </c>
      <c r="K31" s="38">
        <f t="shared" si="11"/>
        <v>4.7375170509773135E-2</v>
      </c>
      <c r="L31" s="28">
        <f t="shared" si="23"/>
        <v>-0.30952380952381009</v>
      </c>
      <c r="M31" s="18">
        <f t="shared" si="3"/>
        <v>41.652249912192545</v>
      </c>
      <c r="N31" s="9" t="s">
        <v>37</v>
      </c>
      <c r="O31" s="17">
        <v>2150.25</v>
      </c>
      <c r="P31" s="38">
        <v>6.8612315910705976E-2</v>
      </c>
      <c r="Q31" s="38">
        <f t="shared" si="12"/>
        <v>4.7375170509773135E-2</v>
      </c>
      <c r="R31" s="28">
        <f t="shared" ref="R31" si="24">(Q31-P31)/P31</f>
        <v>-0.30952380952381009</v>
      </c>
      <c r="S31" s="18">
        <f>SUM(O31*Q31)</f>
        <v>101.86846038863968</v>
      </c>
      <c r="T31" s="20">
        <f t="shared" ref="T31" si="25">SUM(Q31)*28.67</f>
        <v>1.3582461385151958</v>
      </c>
      <c r="U31" s="70">
        <f>SUM(План!C16)</f>
        <v>483.33333333333297</v>
      </c>
      <c r="V31" s="17">
        <f t="shared" si="6"/>
        <v>1449.9999999999989</v>
      </c>
      <c r="W31" s="63">
        <f t="shared" si="7"/>
        <v>2899.9999999999977</v>
      </c>
      <c r="X31" s="17">
        <f t="shared" si="8"/>
        <v>4349.9999999999964</v>
      </c>
      <c r="Y31" s="14">
        <f t="shared" si="9"/>
        <v>5799.9999999999955</v>
      </c>
      <c r="Z31" s="63">
        <v>1405.3</v>
      </c>
      <c r="AA31" s="63">
        <v>1445.34</v>
      </c>
      <c r="AB31" s="63">
        <v>1429.17</v>
      </c>
      <c r="AC31" s="71">
        <v>1369.25</v>
      </c>
      <c r="AD31" s="17">
        <f t="shared" si="14"/>
        <v>5649.0599999999995</v>
      </c>
    </row>
    <row r="32" spans="1:30" x14ac:dyDescent="0.25">
      <c r="A32" s="10"/>
      <c r="B32" s="10"/>
      <c r="C32" s="19"/>
      <c r="D32" s="8"/>
      <c r="E32" s="8"/>
      <c r="F32" s="28"/>
      <c r="G32" s="21"/>
      <c r="H32" s="10"/>
      <c r="I32" s="19"/>
      <c r="J32" s="8"/>
      <c r="K32" s="8"/>
      <c r="L32" s="28"/>
      <c r="M32" s="21"/>
      <c r="N32" s="10"/>
      <c r="O32" s="17"/>
      <c r="P32" s="8"/>
      <c r="Q32" s="8"/>
      <c r="R32" s="28"/>
      <c r="S32" s="18"/>
      <c r="T32" s="20"/>
      <c r="U32" s="70"/>
      <c r="V32" s="19"/>
      <c r="W32" s="58"/>
      <c r="X32" s="19"/>
      <c r="Y32" s="21"/>
      <c r="Z32" s="63"/>
      <c r="AA32" s="63"/>
      <c r="AB32" s="63"/>
      <c r="AC32" s="63"/>
      <c r="AD32" s="17"/>
    </row>
    <row r="33" spans="1:30" x14ac:dyDescent="0.25">
      <c r="A33" s="59" t="s">
        <v>25</v>
      </c>
      <c r="B33" s="59" t="s">
        <v>74</v>
      </c>
      <c r="C33" s="57">
        <v>63</v>
      </c>
      <c r="D33" s="22">
        <v>134.98507462686501</v>
      </c>
      <c r="E33" s="22">
        <v>125.76</v>
      </c>
      <c r="F33" s="16">
        <f>(E33-D33)/D33</f>
        <v>-6.8341441839889272E-2</v>
      </c>
      <c r="G33" s="14">
        <f>SUM(C33*E33)</f>
        <v>7922.88</v>
      </c>
      <c r="H33" s="59" t="s">
        <v>52</v>
      </c>
      <c r="I33" s="14">
        <v>879.2</v>
      </c>
      <c r="J33" s="61"/>
      <c r="K33" s="61"/>
      <c r="L33" s="16"/>
      <c r="M33" s="61"/>
      <c r="N33" s="59" t="s">
        <v>71</v>
      </c>
      <c r="O33" s="14">
        <v>2150.25</v>
      </c>
      <c r="P33" s="61"/>
      <c r="Q33" s="61"/>
      <c r="R33" s="16"/>
      <c r="S33" s="14"/>
      <c r="T33" s="14"/>
      <c r="U33" s="61">
        <f>SUM(G33)</f>
        <v>7922.88</v>
      </c>
      <c r="V33" s="14">
        <f>SUM(U33)*3</f>
        <v>23768.639999999999</v>
      </c>
      <c r="W33" s="14">
        <f t="shared" ref="W33" si="26">SUM(V33)*2</f>
        <v>47537.279999999999</v>
      </c>
      <c r="X33" s="14">
        <f t="shared" ref="X33" si="27">SUM(V33)*3</f>
        <v>71305.919999999998</v>
      </c>
      <c r="Y33" s="14">
        <f t="shared" ref="Y33" si="28">SUM(U33)*12</f>
        <v>95074.559999999998</v>
      </c>
      <c r="Z33" s="14">
        <v>25499.88</v>
      </c>
      <c r="AA33" s="14">
        <v>26365.5</v>
      </c>
      <c r="AB33" s="14">
        <v>26365.5</v>
      </c>
      <c r="AC33" s="14">
        <v>26365.5</v>
      </c>
      <c r="AD33" s="14">
        <f t="shared" ref="AD33" si="29">SUM(Z33,AA33,AB33,AC33)</f>
        <v>104596.38</v>
      </c>
    </row>
    <row r="34" spans="1:30" ht="15" customHeight="1" x14ac:dyDescent="0.25">
      <c r="A34" s="83" t="s">
        <v>190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23">
        <f t="shared" ref="U34:AD34" si="30">SUM(U6:U33)</f>
        <v>965772.6126666331</v>
      </c>
      <c r="V34" s="23">
        <f t="shared" si="30"/>
        <v>2897317.8379998999</v>
      </c>
      <c r="W34" s="23">
        <f t="shared" si="30"/>
        <v>5794635.6759997997</v>
      </c>
      <c r="X34" s="23">
        <f t="shared" si="30"/>
        <v>8691953.5139996987</v>
      </c>
      <c r="Y34" s="23">
        <f t="shared" si="30"/>
        <v>11589271.351999599</v>
      </c>
      <c r="Z34" s="23">
        <f t="shared" si="30"/>
        <v>3291262.9099999997</v>
      </c>
      <c r="AA34" s="23">
        <f t="shared" si="30"/>
        <v>3500731.2299999995</v>
      </c>
      <c r="AB34" s="23">
        <f t="shared" si="30"/>
        <v>2435664.6799999997</v>
      </c>
      <c r="AC34" s="23">
        <f t="shared" si="30"/>
        <v>2725631.39</v>
      </c>
      <c r="AD34" s="23">
        <f t="shared" si="30"/>
        <v>11953290.210000001</v>
      </c>
    </row>
    <row r="35" spans="1:30" ht="15" customHeight="1" x14ac:dyDescent="0.25">
      <c r="A35" s="74" t="s">
        <v>83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</row>
    <row r="36" spans="1:30" ht="15" customHeight="1" x14ac:dyDescent="0.25">
      <c r="A36" s="83" t="s">
        <v>84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79" t="s">
        <v>184</v>
      </c>
      <c r="AA36" s="79"/>
      <c r="AB36" s="79"/>
      <c r="AC36" s="79"/>
      <c r="AD36" s="79"/>
    </row>
    <row r="37" spans="1:30" ht="45" x14ac:dyDescent="0.25">
      <c r="A37" s="59" t="s">
        <v>68</v>
      </c>
      <c r="B37" s="81" t="s">
        <v>70</v>
      </c>
      <c r="C37" s="81"/>
      <c r="D37" s="81"/>
      <c r="E37" s="81"/>
      <c r="F37" s="81" t="s">
        <v>134</v>
      </c>
      <c r="G37" s="81"/>
      <c r="H37" s="81"/>
      <c r="I37" s="81"/>
      <c r="J37" s="81" t="s">
        <v>164</v>
      </c>
      <c r="K37" s="81"/>
      <c r="L37" s="81"/>
      <c r="M37" s="81" t="s">
        <v>89</v>
      </c>
      <c r="N37" s="81"/>
      <c r="O37" s="81"/>
      <c r="P37" s="81"/>
      <c r="Q37" s="81" t="s">
        <v>67</v>
      </c>
      <c r="R37" s="81"/>
      <c r="S37" s="81"/>
      <c r="T37" s="81"/>
      <c r="U37" s="63" t="s">
        <v>182</v>
      </c>
      <c r="V37" s="17" t="s">
        <v>183</v>
      </c>
      <c r="W37" s="63" t="s">
        <v>175</v>
      </c>
      <c r="X37" s="17" t="s">
        <v>176</v>
      </c>
      <c r="Y37" s="18" t="s">
        <v>177</v>
      </c>
      <c r="Z37" s="63" t="s">
        <v>178</v>
      </c>
      <c r="AA37" s="63" t="s">
        <v>179</v>
      </c>
      <c r="AB37" s="63" t="s">
        <v>180</v>
      </c>
      <c r="AC37" s="63" t="s">
        <v>181</v>
      </c>
      <c r="AD37" s="21" t="s">
        <v>185</v>
      </c>
    </row>
    <row r="38" spans="1:30" ht="15" customHeight="1" x14ac:dyDescent="0.25">
      <c r="A38" s="25" t="s">
        <v>23</v>
      </c>
      <c r="B38" s="72" t="s">
        <v>43</v>
      </c>
      <c r="C38" s="72"/>
      <c r="D38" s="72"/>
      <c r="E38" s="72"/>
      <c r="F38" s="72">
        <v>1367.56</v>
      </c>
      <c r="G38" s="72"/>
      <c r="H38" s="72"/>
      <c r="I38" s="72"/>
      <c r="J38" s="77">
        <v>1463.3</v>
      </c>
      <c r="K38" s="77"/>
      <c r="L38" s="77"/>
      <c r="M38" s="73">
        <f t="shared" ref="M38:M43" si="31">SUM(J38-F38)/F38</f>
        <v>7.0007897276901931E-2</v>
      </c>
      <c r="N38" s="73"/>
      <c r="O38" s="73"/>
      <c r="P38" s="73"/>
      <c r="Q38" s="72">
        <v>42.949087678534802</v>
      </c>
      <c r="R38" s="72"/>
      <c r="S38" s="72"/>
      <c r="T38" s="72"/>
      <c r="U38" s="58">
        <f t="shared" ref="U38:U43" si="32">SUM(Q38*J38)</f>
        <v>62847.399999999972</v>
      </c>
      <c r="V38" s="17">
        <f t="shared" ref="V38:V43" si="33">SUM(U38)*3</f>
        <v>188542.19999999992</v>
      </c>
      <c r="W38" s="63">
        <f t="shared" ref="W38:W43" si="34">SUM(V38)*2</f>
        <v>377084.39999999985</v>
      </c>
      <c r="X38" s="17">
        <f t="shared" ref="X38:X43" si="35">SUM(V38)*3</f>
        <v>565626.59999999974</v>
      </c>
      <c r="Y38" s="61">
        <f t="shared" ref="Y38:Y43" si="36">SUM(U38)*12</f>
        <v>754168.7999999997</v>
      </c>
      <c r="Z38" s="58">
        <v>125064.49</v>
      </c>
      <c r="AA38" s="58">
        <v>124667.03</v>
      </c>
      <c r="AB38" s="71">
        <v>133111.92000000001</v>
      </c>
      <c r="AC38" s="71">
        <v>132709.88</v>
      </c>
      <c r="AD38" s="17">
        <f t="shared" ref="AD38:AD45" si="37">SUM(Z38,AA38,AB38,AC38)</f>
        <v>515553.32000000007</v>
      </c>
    </row>
    <row r="39" spans="1:30" ht="15" customHeight="1" x14ac:dyDescent="0.25">
      <c r="A39" s="25" t="s">
        <v>62</v>
      </c>
      <c r="B39" s="72" t="s">
        <v>66</v>
      </c>
      <c r="C39" s="72"/>
      <c r="D39" s="72"/>
      <c r="E39" s="72"/>
      <c r="F39" s="72">
        <v>2111.4</v>
      </c>
      <c r="G39" s="72"/>
      <c r="H39" s="72"/>
      <c r="I39" s="72"/>
      <c r="J39" s="77">
        <v>2318.3200000000002</v>
      </c>
      <c r="K39" s="77"/>
      <c r="L39" s="77"/>
      <c r="M39" s="73">
        <f t="shared" si="31"/>
        <v>9.8001326134318487E-2</v>
      </c>
      <c r="N39" s="73"/>
      <c r="O39" s="73"/>
      <c r="P39" s="73"/>
      <c r="Q39" s="72">
        <v>1.73</v>
      </c>
      <c r="R39" s="72"/>
      <c r="S39" s="72"/>
      <c r="T39" s="72"/>
      <c r="U39" s="58">
        <f t="shared" si="32"/>
        <v>4010.6936000000001</v>
      </c>
      <c r="V39" s="17">
        <f t="shared" si="33"/>
        <v>12032.0808</v>
      </c>
      <c r="W39" s="63">
        <f t="shared" si="34"/>
        <v>24064.161599999999</v>
      </c>
      <c r="X39" s="17">
        <f t="shared" si="35"/>
        <v>36096.242400000003</v>
      </c>
      <c r="Y39" s="61">
        <f t="shared" si="36"/>
        <v>48128.323199999999</v>
      </c>
      <c r="Z39" s="58">
        <v>0</v>
      </c>
      <c r="AA39" s="58">
        <v>89801.58</v>
      </c>
      <c r="AB39" s="71">
        <v>194489.76</v>
      </c>
      <c r="AC39" s="71">
        <v>145145.19</v>
      </c>
      <c r="AD39" s="17">
        <f t="shared" si="37"/>
        <v>429436.53</v>
      </c>
    </row>
    <row r="40" spans="1:30" x14ac:dyDescent="0.25">
      <c r="A40" s="25" t="s">
        <v>47</v>
      </c>
      <c r="B40" s="72" t="s">
        <v>43</v>
      </c>
      <c r="C40" s="72"/>
      <c r="D40" s="72"/>
      <c r="E40" s="72"/>
      <c r="F40" s="72">
        <v>36.54</v>
      </c>
      <c r="G40" s="72"/>
      <c r="H40" s="72"/>
      <c r="I40" s="72"/>
      <c r="J40" s="77">
        <v>39.72</v>
      </c>
      <c r="K40" s="77"/>
      <c r="L40" s="77"/>
      <c r="M40" s="73">
        <f t="shared" si="31"/>
        <v>8.7027914614121502E-2</v>
      </c>
      <c r="N40" s="73"/>
      <c r="O40" s="73"/>
      <c r="P40" s="73"/>
      <c r="Q40" s="72">
        <v>457.69</v>
      </c>
      <c r="R40" s="72"/>
      <c r="S40" s="72"/>
      <c r="T40" s="72"/>
      <c r="U40" s="58">
        <f t="shared" si="32"/>
        <v>18179.446799999998</v>
      </c>
      <c r="V40" s="17">
        <f t="shared" si="33"/>
        <v>54538.340399999994</v>
      </c>
      <c r="W40" s="63">
        <f t="shared" si="34"/>
        <v>109076.68079999999</v>
      </c>
      <c r="X40" s="17">
        <f t="shared" si="35"/>
        <v>163615.02119999999</v>
      </c>
      <c r="Y40" s="61">
        <f t="shared" si="36"/>
        <v>218153.36159999997</v>
      </c>
      <c r="Z40" s="63">
        <v>56572.639999999999</v>
      </c>
      <c r="AA40" s="63">
        <v>51435.9</v>
      </c>
      <c r="AB40" s="71">
        <v>41904.32</v>
      </c>
      <c r="AC40" s="71">
        <v>49459.72</v>
      </c>
      <c r="AD40" s="17">
        <f t="shared" si="37"/>
        <v>199372.58000000002</v>
      </c>
    </row>
    <row r="41" spans="1:30" ht="15" customHeight="1" x14ac:dyDescent="0.25">
      <c r="A41" s="25" t="s">
        <v>46</v>
      </c>
      <c r="B41" s="72" t="s">
        <v>43</v>
      </c>
      <c r="C41" s="72"/>
      <c r="D41" s="72"/>
      <c r="E41" s="72"/>
      <c r="F41" s="72">
        <v>36.54</v>
      </c>
      <c r="G41" s="72"/>
      <c r="H41" s="72"/>
      <c r="I41" s="72"/>
      <c r="J41" s="77">
        <v>39.72</v>
      </c>
      <c r="K41" s="77"/>
      <c r="L41" s="77"/>
      <c r="M41" s="73">
        <f t="shared" si="31"/>
        <v>8.7027914614121502E-2</v>
      </c>
      <c r="N41" s="73"/>
      <c r="O41" s="73"/>
      <c r="P41" s="73"/>
      <c r="Q41" s="72">
        <v>623.15</v>
      </c>
      <c r="R41" s="72"/>
      <c r="S41" s="72"/>
      <c r="T41" s="72"/>
      <c r="U41" s="58">
        <f t="shared" si="32"/>
        <v>24751.518</v>
      </c>
      <c r="V41" s="17">
        <f t="shared" si="33"/>
        <v>74254.554000000004</v>
      </c>
      <c r="W41" s="63">
        <f t="shared" si="34"/>
        <v>148509.10800000001</v>
      </c>
      <c r="X41" s="17">
        <f t="shared" si="35"/>
        <v>222763.66200000001</v>
      </c>
      <c r="Y41" s="61">
        <f t="shared" si="36"/>
        <v>297018.21600000001</v>
      </c>
      <c r="Z41" s="63">
        <v>74455.22</v>
      </c>
      <c r="AA41" s="63">
        <v>77302.95</v>
      </c>
      <c r="AB41" s="71">
        <v>67324.100000000006</v>
      </c>
      <c r="AC41" s="71">
        <v>75527.710000000006</v>
      </c>
      <c r="AD41" s="17">
        <f t="shared" si="37"/>
        <v>294609.98</v>
      </c>
    </row>
    <row r="42" spans="1:30" x14ac:dyDescent="0.25">
      <c r="A42" s="25" t="s">
        <v>81</v>
      </c>
      <c r="B42" s="72" t="s">
        <v>69</v>
      </c>
      <c r="C42" s="72"/>
      <c r="D42" s="72"/>
      <c r="E42" s="72"/>
      <c r="F42" s="72">
        <v>4.88</v>
      </c>
      <c r="G42" s="72"/>
      <c r="H42" s="72"/>
      <c r="I42" s="72"/>
      <c r="J42" s="77">
        <v>5.3</v>
      </c>
      <c r="K42" s="77"/>
      <c r="L42" s="77"/>
      <c r="M42" s="73">
        <f t="shared" si="31"/>
        <v>8.6065573770491788E-2</v>
      </c>
      <c r="N42" s="73"/>
      <c r="O42" s="73"/>
      <c r="P42" s="73"/>
      <c r="Q42" s="72">
        <v>5972.33</v>
      </c>
      <c r="R42" s="72"/>
      <c r="S42" s="72"/>
      <c r="T42" s="72"/>
      <c r="U42" s="58">
        <f t="shared" si="32"/>
        <v>31653.348999999998</v>
      </c>
      <c r="V42" s="17">
        <f t="shared" si="33"/>
        <v>94960.046999999991</v>
      </c>
      <c r="W42" s="63">
        <f t="shared" si="34"/>
        <v>189920.09399999998</v>
      </c>
      <c r="X42" s="17">
        <f t="shared" si="35"/>
        <v>284880.14099999995</v>
      </c>
      <c r="Y42" s="61">
        <f t="shared" si="36"/>
        <v>379840.18799999997</v>
      </c>
      <c r="Z42" s="63">
        <v>94135.54</v>
      </c>
      <c r="AA42" s="63">
        <v>88578.9</v>
      </c>
      <c r="AB42" s="71">
        <v>151887.07</v>
      </c>
      <c r="AC42" s="71">
        <v>125372.02</v>
      </c>
      <c r="AD42" s="17">
        <f t="shared" si="37"/>
        <v>459973.53</v>
      </c>
    </row>
    <row r="43" spans="1:30" x14ac:dyDescent="0.25">
      <c r="A43" s="25" t="s">
        <v>82</v>
      </c>
      <c r="B43" s="72" t="s">
        <v>69</v>
      </c>
      <c r="C43" s="72"/>
      <c r="D43" s="72"/>
      <c r="E43" s="72"/>
      <c r="F43" s="72">
        <v>2.67</v>
      </c>
      <c r="G43" s="72"/>
      <c r="H43" s="72"/>
      <c r="I43" s="72"/>
      <c r="J43" s="77">
        <v>2.9</v>
      </c>
      <c r="K43" s="77"/>
      <c r="L43" s="77"/>
      <c r="M43" s="73">
        <f t="shared" si="31"/>
        <v>8.6142322097378279E-2</v>
      </c>
      <c r="N43" s="73"/>
      <c r="O43" s="73"/>
      <c r="P43" s="73"/>
      <c r="Q43" s="72">
        <v>3115.58</v>
      </c>
      <c r="R43" s="72"/>
      <c r="S43" s="72"/>
      <c r="T43" s="72"/>
      <c r="U43" s="58">
        <f t="shared" si="32"/>
        <v>9035.1819999999989</v>
      </c>
      <c r="V43" s="17">
        <f t="shared" si="33"/>
        <v>27105.545999999995</v>
      </c>
      <c r="W43" s="63">
        <f t="shared" si="34"/>
        <v>54211.09199999999</v>
      </c>
      <c r="X43" s="17">
        <f t="shared" si="35"/>
        <v>81316.637999999977</v>
      </c>
      <c r="Y43" s="61">
        <f t="shared" si="36"/>
        <v>108422.18399999998</v>
      </c>
      <c r="Z43" s="63">
        <v>26365.83</v>
      </c>
      <c r="AA43" s="63">
        <v>24644.2</v>
      </c>
      <c r="AB43" s="71">
        <v>22020.27</v>
      </c>
      <c r="AC43" s="71">
        <v>23240.25</v>
      </c>
      <c r="AD43" s="17">
        <f t="shared" si="37"/>
        <v>96270.55</v>
      </c>
    </row>
    <row r="44" spans="1:30" x14ac:dyDescent="0.25">
      <c r="A44" s="77" t="s">
        <v>85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61">
        <f t="shared" ref="U44:AC44" si="38">SUM(U38:U43)</f>
        <v>150477.58939999997</v>
      </c>
      <c r="V44" s="61">
        <f t="shared" si="38"/>
        <v>451432.76819999993</v>
      </c>
      <c r="W44" s="61">
        <f t="shared" si="38"/>
        <v>902865.53639999987</v>
      </c>
      <c r="X44" s="61">
        <f t="shared" si="38"/>
        <v>1354298.3045999997</v>
      </c>
      <c r="Y44" s="61">
        <f t="shared" si="38"/>
        <v>1805731.0727999997</v>
      </c>
      <c r="Z44" s="61">
        <f t="shared" si="38"/>
        <v>376593.72000000003</v>
      </c>
      <c r="AA44" s="61">
        <f t="shared" si="38"/>
        <v>456430.56</v>
      </c>
      <c r="AB44" s="61">
        <f t="shared" si="38"/>
        <v>610737.44000000018</v>
      </c>
      <c r="AC44" s="61">
        <f t="shared" si="38"/>
        <v>551454.77</v>
      </c>
      <c r="AD44" s="14">
        <f t="shared" si="37"/>
        <v>1995216.4900000002</v>
      </c>
    </row>
    <row r="45" spans="1:30" ht="33" customHeight="1" x14ac:dyDescent="0.25">
      <c r="A45" s="78" t="s">
        <v>189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23">
        <f t="shared" ref="U45:AC45" si="39">SUM(U44,U34)</f>
        <v>1116250.2020666332</v>
      </c>
      <c r="V45" s="23">
        <f t="shared" si="39"/>
        <v>3348750.6061998997</v>
      </c>
      <c r="W45" s="23">
        <f t="shared" si="39"/>
        <v>6697501.2123997994</v>
      </c>
      <c r="X45" s="23">
        <f t="shared" si="39"/>
        <v>10046251.818599699</v>
      </c>
      <c r="Y45" s="23">
        <f t="shared" si="39"/>
        <v>13395002.424799599</v>
      </c>
      <c r="Z45" s="62">
        <f t="shared" si="39"/>
        <v>3667856.63</v>
      </c>
      <c r="AA45" s="62">
        <f t="shared" si="39"/>
        <v>3957161.7899999996</v>
      </c>
      <c r="AB45" s="62">
        <f t="shared" si="39"/>
        <v>3046402.12</v>
      </c>
      <c r="AC45" s="62">
        <f t="shared" si="39"/>
        <v>3277086.16</v>
      </c>
      <c r="AD45" s="62">
        <f t="shared" si="37"/>
        <v>13948506.699999999</v>
      </c>
    </row>
    <row r="46" spans="1:30" ht="15" customHeight="1" x14ac:dyDescent="0.25">
      <c r="A46" s="74" t="s">
        <v>86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</row>
    <row r="47" spans="1:30" ht="15" customHeight="1" x14ac:dyDescent="0.25">
      <c r="A47" s="81" t="s">
        <v>31</v>
      </c>
      <c r="B47" s="80" t="s">
        <v>63</v>
      </c>
      <c r="C47" s="80"/>
      <c r="D47" s="80"/>
      <c r="E47" s="80"/>
      <c r="F47" s="80"/>
      <c r="G47" s="80"/>
      <c r="H47" s="80" t="s">
        <v>64</v>
      </c>
      <c r="I47" s="80"/>
      <c r="J47" s="80"/>
      <c r="K47" s="80"/>
      <c r="L47" s="80"/>
      <c r="M47" s="80"/>
      <c r="N47" s="80" t="s">
        <v>65</v>
      </c>
      <c r="O47" s="80"/>
      <c r="P47" s="80"/>
      <c r="Q47" s="80"/>
      <c r="R47" s="80"/>
      <c r="S47" s="80"/>
      <c r="T47" s="80"/>
      <c r="U47" s="75" t="s">
        <v>87</v>
      </c>
      <c r="V47" s="75"/>
      <c r="W47" s="75"/>
      <c r="X47" s="75"/>
      <c r="Y47" s="75"/>
      <c r="Z47" s="76" t="s">
        <v>186</v>
      </c>
      <c r="AA47" s="76"/>
      <c r="AB47" s="76"/>
      <c r="AC47" s="76"/>
      <c r="AD47" s="76"/>
    </row>
    <row r="48" spans="1:30" x14ac:dyDescent="0.25">
      <c r="A48" s="81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75"/>
      <c r="V48" s="75"/>
      <c r="W48" s="75"/>
      <c r="X48" s="75"/>
      <c r="Y48" s="75"/>
      <c r="Z48" s="76"/>
      <c r="AA48" s="76"/>
      <c r="AB48" s="76"/>
      <c r="AC48" s="76"/>
      <c r="AD48" s="76"/>
    </row>
    <row r="49" spans="1:30" ht="45" x14ac:dyDescent="0.25">
      <c r="A49" s="81"/>
      <c r="B49" s="60" t="s">
        <v>39</v>
      </c>
      <c r="C49" s="65" t="s">
        <v>90</v>
      </c>
      <c r="D49" s="65" t="s">
        <v>133</v>
      </c>
      <c r="E49" s="65" t="s">
        <v>165</v>
      </c>
      <c r="F49" s="11" t="s">
        <v>73</v>
      </c>
      <c r="G49" s="65" t="s">
        <v>40</v>
      </c>
      <c r="H49" s="60" t="s">
        <v>38</v>
      </c>
      <c r="I49" s="65" t="s">
        <v>90</v>
      </c>
      <c r="J49" s="65" t="s">
        <v>133</v>
      </c>
      <c r="K49" s="65" t="s">
        <v>165</v>
      </c>
      <c r="L49" s="11" t="s">
        <v>73</v>
      </c>
      <c r="M49" s="60" t="s">
        <v>40</v>
      </c>
      <c r="N49" s="60" t="s">
        <v>38</v>
      </c>
      <c r="O49" s="65" t="s">
        <v>90</v>
      </c>
      <c r="P49" s="65" t="s">
        <v>133</v>
      </c>
      <c r="Q49" s="65" t="s">
        <v>165</v>
      </c>
      <c r="R49" s="11" t="s">
        <v>73</v>
      </c>
      <c r="S49" s="60" t="s">
        <v>40</v>
      </c>
      <c r="T49" s="65" t="s">
        <v>48</v>
      </c>
      <c r="U49" s="60" t="s">
        <v>49</v>
      </c>
      <c r="V49" s="63" t="s">
        <v>183</v>
      </c>
      <c r="W49" s="63" t="s">
        <v>175</v>
      </c>
      <c r="X49" s="63" t="s">
        <v>176</v>
      </c>
      <c r="Y49" s="63" t="s">
        <v>177</v>
      </c>
      <c r="Z49" s="63" t="s">
        <v>178</v>
      </c>
      <c r="AA49" s="63" t="s">
        <v>179</v>
      </c>
      <c r="AB49" s="63" t="s">
        <v>180</v>
      </c>
      <c r="AC49" s="63" t="s">
        <v>181</v>
      </c>
      <c r="AD49" s="63" t="s">
        <v>50</v>
      </c>
    </row>
    <row r="50" spans="1:30" x14ac:dyDescent="0.25">
      <c r="A50" s="81"/>
      <c r="B50" s="64" t="s">
        <v>37</v>
      </c>
      <c r="C50" s="62">
        <v>7172.8</v>
      </c>
      <c r="D50" s="25">
        <v>12.71</v>
      </c>
      <c r="E50" s="61">
        <v>12.71</v>
      </c>
      <c r="F50" s="29">
        <f>(E50-D50)/D50</f>
        <v>0</v>
      </c>
      <c r="G50" s="61">
        <f>SUM(C50*E50)</f>
        <v>91166.288000000015</v>
      </c>
      <c r="H50" s="64" t="s">
        <v>37</v>
      </c>
      <c r="I50" s="62">
        <v>879.2</v>
      </c>
      <c r="J50" s="25">
        <v>12.71</v>
      </c>
      <c r="K50" s="61">
        <v>12.71</v>
      </c>
      <c r="L50" s="29">
        <f>(K50-J50)/J50</f>
        <v>0</v>
      </c>
      <c r="M50" s="14">
        <f>SUM(I50*K50)</f>
        <v>11174.632000000001</v>
      </c>
      <c r="N50" s="64" t="s">
        <v>37</v>
      </c>
      <c r="O50" s="62">
        <v>2150.25</v>
      </c>
      <c r="P50" s="25">
        <v>12.71</v>
      </c>
      <c r="Q50" s="61">
        <v>12.71</v>
      </c>
      <c r="R50" s="29">
        <f>(Q50-P50)/P50</f>
        <v>0</v>
      </c>
      <c r="S50" s="14">
        <f>SUM(O50*Q50)</f>
        <v>27329.677500000002</v>
      </c>
      <c r="T50" s="24">
        <f>SUM(Q50)*28.67</f>
        <v>364.39570000000003</v>
      </c>
      <c r="U50" s="61">
        <f>SUM(G50,M50,S50)</f>
        <v>129670.59750000002</v>
      </c>
      <c r="V50" s="61">
        <f>SUM(U50)*3</f>
        <v>389011.79250000004</v>
      </c>
      <c r="W50" s="61">
        <f>SUM(V50)*2</f>
        <v>778023.58500000008</v>
      </c>
      <c r="X50" s="14">
        <f t="shared" ref="X50" si="40">SUM(V50)*3</f>
        <v>1167035.3775000002</v>
      </c>
      <c r="Y50" s="61">
        <f>SUM(U50)*12</f>
        <v>1556047.1700000002</v>
      </c>
      <c r="Z50" s="18">
        <v>392568.2</v>
      </c>
      <c r="AA50" s="18">
        <v>386535.09</v>
      </c>
      <c r="AB50" s="18">
        <v>414295.08</v>
      </c>
      <c r="AC50" s="18"/>
      <c r="AD50" s="14">
        <f t="shared" ref="AD50" si="41">SUM(Z50,AA50,AB50,AC50)</f>
        <v>1193398.3700000001</v>
      </c>
    </row>
    <row r="51" spans="1:30" x14ac:dyDescent="0.25">
      <c r="A51" s="79" t="s">
        <v>88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23">
        <f>SUM(U50,U45)</f>
        <v>1245920.7995666331</v>
      </c>
      <c r="V51" s="23">
        <f t="shared" ref="V51:X51" si="42">SUM(V50,V45)</f>
        <v>3737762.3986998997</v>
      </c>
      <c r="W51" s="23">
        <f t="shared" si="42"/>
        <v>7475524.7973997993</v>
      </c>
      <c r="X51" s="23">
        <f t="shared" si="42"/>
        <v>11213287.196099699</v>
      </c>
      <c r="Y51" s="23">
        <f>SUM(Y50,Y45)</f>
        <v>14951049.594799599</v>
      </c>
      <c r="Z51" s="23">
        <f t="shared" ref="Z51:AC51" si="43">SUM(Z50,Z45)</f>
        <v>4060424.83</v>
      </c>
      <c r="AA51" s="23">
        <f t="shared" si="43"/>
        <v>4343696.88</v>
      </c>
      <c r="AB51" s="23">
        <f t="shared" si="43"/>
        <v>3460697.2</v>
      </c>
      <c r="AC51" s="23">
        <f t="shared" si="43"/>
        <v>3277086.16</v>
      </c>
      <c r="AD51" s="62">
        <f>SUM(Z51,AA51,AB51,AC51)</f>
        <v>15141905.07</v>
      </c>
    </row>
    <row r="52" spans="1:30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W52" s="27"/>
    </row>
    <row r="53" spans="1:30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W53" s="26"/>
    </row>
    <row r="54" spans="1:30" ht="15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</row>
    <row r="55" spans="1:30" ht="15" customHeigh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</row>
    <row r="56" spans="1:30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</row>
    <row r="57" spans="1:30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</row>
    <row r="58" spans="1:30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</row>
    <row r="59" spans="1:30" x14ac:dyDescent="0.25">
      <c r="A59" s="67"/>
      <c r="B59" s="67"/>
      <c r="C59" s="68"/>
      <c r="D59" s="68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4" spans="1:30" ht="15" customHeight="1" x14ac:dyDescent="0.25"/>
  </sheetData>
  <mergeCells count="56">
    <mergeCell ref="Q37:T37"/>
    <mergeCell ref="M38:P38"/>
    <mergeCell ref="A1:AD1"/>
    <mergeCell ref="B37:E37"/>
    <mergeCell ref="J38:L38"/>
    <mergeCell ref="A34:T34"/>
    <mergeCell ref="A2:A4"/>
    <mergeCell ref="B2:G3"/>
    <mergeCell ref="H2:M3"/>
    <mergeCell ref="N2:T3"/>
    <mergeCell ref="M37:P37"/>
    <mergeCell ref="U2:Y3"/>
    <mergeCell ref="Z2:AD3"/>
    <mergeCell ref="Z36:AD36"/>
    <mergeCell ref="A36:Y36"/>
    <mergeCell ref="A35:AD35"/>
    <mergeCell ref="B38:E38"/>
    <mergeCell ref="J37:L37"/>
    <mergeCell ref="J39:L39"/>
    <mergeCell ref="J40:L40"/>
    <mergeCell ref="F41:I41"/>
    <mergeCell ref="F38:I38"/>
    <mergeCell ref="F37:I37"/>
    <mergeCell ref="B39:E39"/>
    <mergeCell ref="B40:E40"/>
    <mergeCell ref="B41:E41"/>
    <mergeCell ref="M41:P41"/>
    <mergeCell ref="Q42:T42"/>
    <mergeCell ref="F42:I42"/>
    <mergeCell ref="F43:I43"/>
    <mergeCell ref="F39:I39"/>
    <mergeCell ref="F40:I40"/>
    <mergeCell ref="J42:L42"/>
    <mergeCell ref="J43:L43"/>
    <mergeCell ref="J41:L41"/>
    <mergeCell ref="A51:T51"/>
    <mergeCell ref="B47:G48"/>
    <mergeCell ref="H47:M48"/>
    <mergeCell ref="N47:T48"/>
    <mergeCell ref="A47:A50"/>
    <mergeCell ref="Q38:T38"/>
    <mergeCell ref="M39:P39"/>
    <mergeCell ref="M40:P40"/>
    <mergeCell ref="A46:AD46"/>
    <mergeCell ref="U47:Y48"/>
    <mergeCell ref="Z47:AD48"/>
    <mergeCell ref="Q40:T40"/>
    <mergeCell ref="Q41:T41"/>
    <mergeCell ref="B42:E42"/>
    <mergeCell ref="B43:E43"/>
    <mergeCell ref="A44:T44"/>
    <mergeCell ref="A45:T45"/>
    <mergeCell ref="Q43:T43"/>
    <mergeCell ref="Q39:T39"/>
    <mergeCell ref="M42:P42"/>
    <mergeCell ref="M43:P43"/>
  </mergeCells>
  <pageMargins left="0.7" right="0.7" top="0.75" bottom="0.75" header="0.3" footer="0.3"/>
  <pageSetup paperSize="9" scale="3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opLeftCell="A31" zoomScaleNormal="100" workbookViewId="0">
      <selection activeCell="G36" sqref="G36"/>
    </sheetView>
  </sheetViews>
  <sheetFormatPr defaultRowHeight="15" x14ac:dyDescent="0.25"/>
  <cols>
    <col min="1" max="1" width="7.42578125" style="4" customWidth="1"/>
    <col min="2" max="2" width="43.5703125" style="4" customWidth="1"/>
    <col min="3" max="3" width="14.28515625" style="4" customWidth="1"/>
    <col min="4" max="4" width="15" style="4" customWidth="1"/>
    <col min="5" max="5" width="26.7109375" style="4" customWidth="1"/>
    <col min="6" max="6" width="47.85546875" style="4" customWidth="1"/>
    <col min="7" max="7" width="54.7109375" style="4" customWidth="1"/>
    <col min="8" max="16384" width="9.140625" style="4"/>
  </cols>
  <sheetData>
    <row r="1" spans="1:13" ht="18.75" x14ac:dyDescent="0.3">
      <c r="A1" s="86" t="s">
        <v>137</v>
      </c>
      <c r="B1" s="86"/>
      <c r="C1" s="86"/>
      <c r="D1" s="86"/>
      <c r="E1" s="86"/>
      <c r="F1" s="86"/>
    </row>
    <row r="3" spans="1:13" ht="15.75" x14ac:dyDescent="0.25">
      <c r="A3" s="87" t="s">
        <v>61</v>
      </c>
      <c r="B3" s="87"/>
      <c r="C3" s="87"/>
      <c r="D3" s="87"/>
      <c r="E3" s="87"/>
      <c r="F3" s="87"/>
    </row>
    <row r="5" spans="1:13" x14ac:dyDescent="0.25">
      <c r="A5" s="84" t="s">
        <v>92</v>
      </c>
      <c r="B5" s="84"/>
      <c r="C5" s="84"/>
      <c r="D5" s="84"/>
      <c r="E5" s="84"/>
      <c r="F5" s="84"/>
    </row>
    <row r="6" spans="1:13" x14ac:dyDescent="0.25">
      <c r="A6" s="84" t="s">
        <v>93</v>
      </c>
      <c r="B6" s="84"/>
      <c r="C6" s="84"/>
      <c r="D6" s="84"/>
      <c r="E6" s="84"/>
      <c r="F6" s="84"/>
    </row>
    <row r="7" spans="1:13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15</v>
      </c>
      <c r="F7" s="2" t="s">
        <v>14</v>
      </c>
    </row>
    <row r="8" spans="1:13" ht="30" x14ac:dyDescent="0.25">
      <c r="A8" s="1" t="s">
        <v>102</v>
      </c>
      <c r="B8" s="2" t="s">
        <v>4</v>
      </c>
      <c r="C8" s="6">
        <f>SUM(D8)/12</f>
        <v>181365.16666666666</v>
      </c>
      <c r="D8" s="6">
        <v>2176382</v>
      </c>
      <c r="E8" s="2"/>
      <c r="F8" s="2" t="s">
        <v>138</v>
      </c>
    </row>
    <row r="9" spans="1:13" ht="45" x14ac:dyDescent="0.25">
      <c r="A9" s="1" t="s">
        <v>94</v>
      </c>
      <c r="B9" s="2" t="s">
        <v>53</v>
      </c>
      <c r="C9" s="6">
        <v>10000</v>
      </c>
      <c r="D9" s="6">
        <f>SUM(C9)*12</f>
        <v>120000</v>
      </c>
      <c r="E9" s="2"/>
      <c r="F9" s="55" t="s">
        <v>142</v>
      </c>
    </row>
    <row r="10" spans="1:13" ht="30" x14ac:dyDescent="0.25">
      <c r="A10" s="1" t="s">
        <v>95</v>
      </c>
      <c r="B10" s="2" t="s">
        <v>5</v>
      </c>
      <c r="C10" s="6">
        <v>625</v>
      </c>
      <c r="D10" s="6">
        <f>SUM(C10)*12</f>
        <v>7500</v>
      </c>
      <c r="E10" s="2"/>
      <c r="F10" s="55" t="s">
        <v>150</v>
      </c>
    </row>
    <row r="11" spans="1:13" ht="105" x14ac:dyDescent="0.25">
      <c r="A11" s="1" t="s">
        <v>96</v>
      </c>
      <c r="B11" s="2" t="s">
        <v>41</v>
      </c>
      <c r="C11" s="6">
        <f>SUM(C8)*30.2%</f>
        <v>54772.280333333329</v>
      </c>
      <c r="D11" s="6">
        <f>SUM(D8)*30.2%</f>
        <v>657267.36399999994</v>
      </c>
      <c r="E11" s="2"/>
      <c r="F11" s="2" t="s">
        <v>141</v>
      </c>
      <c r="H11" s="40"/>
    </row>
    <row r="12" spans="1:13" ht="75" x14ac:dyDescent="0.25">
      <c r="A12" s="1" t="s">
        <v>97</v>
      </c>
      <c r="B12" s="2" t="s">
        <v>9</v>
      </c>
      <c r="C12" s="6">
        <v>875</v>
      </c>
      <c r="D12" s="6">
        <f>SUM(C12)*12</f>
        <v>10500</v>
      </c>
      <c r="E12" s="2"/>
      <c r="F12" s="2" t="s">
        <v>143</v>
      </c>
      <c r="G12" s="43"/>
      <c r="J12" s="84"/>
      <c r="K12" s="84"/>
      <c r="L12" s="84"/>
      <c r="M12" s="84"/>
    </row>
    <row r="13" spans="1:13" ht="120" x14ac:dyDescent="0.25">
      <c r="A13" s="1" t="s">
        <v>98</v>
      </c>
      <c r="B13" s="2" t="s">
        <v>10</v>
      </c>
      <c r="C13" s="6">
        <v>8971.5833333333303</v>
      </c>
      <c r="D13" s="6">
        <f>SUM(C13)*12</f>
        <v>107658.99999999997</v>
      </c>
      <c r="E13" s="2" t="s">
        <v>139</v>
      </c>
      <c r="F13" s="55" t="s">
        <v>171</v>
      </c>
      <c r="G13" s="44"/>
    </row>
    <row r="14" spans="1:13" ht="30" x14ac:dyDescent="0.25">
      <c r="A14" s="1" t="s">
        <v>99</v>
      </c>
      <c r="B14" s="2" t="s">
        <v>7</v>
      </c>
      <c r="C14" s="6">
        <v>4000</v>
      </c>
      <c r="D14" s="6">
        <f>SUM(C14)*12</f>
        <v>48000</v>
      </c>
      <c r="E14" s="2"/>
      <c r="F14" s="2" t="s">
        <v>135</v>
      </c>
      <c r="G14" s="44"/>
    </row>
    <row r="15" spans="1:13" ht="30" x14ac:dyDescent="0.25">
      <c r="A15" s="1" t="s">
        <v>100</v>
      </c>
      <c r="B15" s="2" t="s">
        <v>6</v>
      </c>
      <c r="C15" s="6">
        <v>833.33333330000005</v>
      </c>
      <c r="D15" s="6">
        <f>SUM(C15)*12</f>
        <v>9999.9999996000006</v>
      </c>
      <c r="E15" s="2"/>
      <c r="F15" s="2" t="s">
        <v>144</v>
      </c>
      <c r="G15" s="44"/>
    </row>
    <row r="16" spans="1:13" ht="30" x14ac:dyDescent="0.25">
      <c r="A16" s="1" t="s">
        <v>101</v>
      </c>
      <c r="B16" s="2" t="s">
        <v>8</v>
      </c>
      <c r="C16" s="6">
        <v>483.33333333333297</v>
      </c>
      <c r="D16" s="6">
        <f>SUM(C16)*12</f>
        <v>5799.9999999999955</v>
      </c>
      <c r="E16" s="2" t="s">
        <v>18</v>
      </c>
      <c r="F16" s="55" t="s">
        <v>151</v>
      </c>
    </row>
    <row r="17" spans="1:7" x14ac:dyDescent="0.25">
      <c r="A17" s="1"/>
      <c r="B17" s="3" t="s">
        <v>11</v>
      </c>
      <c r="C17" s="5">
        <f>SUM(C8:C16)</f>
        <v>261925.69699996666</v>
      </c>
      <c r="D17" s="5">
        <f>SUM(D8:D16)</f>
        <v>3143108.3639996001</v>
      </c>
      <c r="E17" s="2"/>
      <c r="F17" s="2"/>
    </row>
    <row r="19" spans="1:7" x14ac:dyDescent="0.25">
      <c r="A19" s="84" t="s">
        <v>103</v>
      </c>
      <c r="B19" s="84"/>
      <c r="C19" s="84"/>
      <c r="D19" s="84"/>
      <c r="E19" s="84"/>
      <c r="F19" s="84"/>
    </row>
    <row r="21" spans="1:7" x14ac:dyDescent="0.25">
      <c r="A21" s="2" t="s">
        <v>0</v>
      </c>
      <c r="B21" s="2" t="s">
        <v>1</v>
      </c>
      <c r="C21" s="2" t="s">
        <v>2</v>
      </c>
      <c r="D21" s="2" t="s">
        <v>3</v>
      </c>
      <c r="E21" s="2" t="s">
        <v>15</v>
      </c>
      <c r="F21" s="2" t="s">
        <v>14</v>
      </c>
    </row>
    <row r="22" spans="1:7" ht="75" x14ac:dyDescent="0.25">
      <c r="A22" s="1" t="s">
        <v>104</v>
      </c>
      <c r="B22" s="2" t="s">
        <v>27</v>
      </c>
      <c r="C22" s="6">
        <v>266.666666666666</v>
      </c>
      <c r="D22" s="6">
        <f>SUM(C22)*12</f>
        <v>3199.9999999999918</v>
      </c>
      <c r="E22" s="2" t="s">
        <v>145</v>
      </c>
      <c r="F22" s="55" t="s">
        <v>146</v>
      </c>
      <c r="G22" s="54"/>
    </row>
    <row r="23" spans="1:7" ht="45" x14ac:dyDescent="0.25">
      <c r="A23" s="1" t="s">
        <v>105</v>
      </c>
      <c r="B23" s="2" t="s">
        <v>22</v>
      </c>
      <c r="C23" s="6">
        <v>1576.06</v>
      </c>
      <c r="D23" s="6">
        <f>SUM(C23)*12</f>
        <v>18912.72</v>
      </c>
      <c r="E23" s="2" t="s">
        <v>153</v>
      </c>
      <c r="F23" s="55" t="s">
        <v>147</v>
      </c>
      <c r="G23" s="45"/>
    </row>
    <row r="24" spans="1:7" ht="45" x14ac:dyDescent="0.25">
      <c r="A24" s="1" t="s">
        <v>106</v>
      </c>
      <c r="B24" s="2" t="s">
        <v>17</v>
      </c>
      <c r="C24" s="6">
        <v>15000</v>
      </c>
      <c r="D24" s="6">
        <f>SUM(C24)*12</f>
        <v>180000</v>
      </c>
      <c r="E24" s="2" t="s">
        <v>76</v>
      </c>
      <c r="F24" s="2" t="s">
        <v>152</v>
      </c>
    </row>
    <row r="25" spans="1:7" ht="90" x14ac:dyDescent="0.25">
      <c r="A25" s="1" t="s">
        <v>107</v>
      </c>
      <c r="B25" s="36" t="s">
        <v>21</v>
      </c>
      <c r="C25" s="41">
        <v>16969.6566666666</v>
      </c>
      <c r="D25" s="41">
        <f>SUM(C25)*12</f>
        <v>203635.87999999919</v>
      </c>
      <c r="E25" s="36" t="s">
        <v>148</v>
      </c>
      <c r="F25" s="56" t="s">
        <v>154</v>
      </c>
      <c r="G25" s="51"/>
    </row>
    <row r="26" spans="1:7" ht="30" x14ac:dyDescent="0.25">
      <c r="A26" s="1" t="s">
        <v>108</v>
      </c>
      <c r="B26" s="2" t="s">
        <v>12</v>
      </c>
      <c r="C26" s="6">
        <f>SUM(D26)/12</f>
        <v>144735.5</v>
      </c>
      <c r="D26" s="6">
        <v>1736826</v>
      </c>
      <c r="E26" s="2"/>
      <c r="F26" s="2" t="s">
        <v>140</v>
      </c>
      <c r="G26" s="46"/>
    </row>
    <row r="27" spans="1:7" ht="45" x14ac:dyDescent="0.25">
      <c r="A27" s="1" t="s">
        <v>109</v>
      </c>
      <c r="B27" s="2" t="s">
        <v>44</v>
      </c>
      <c r="C27" s="6">
        <v>2500</v>
      </c>
      <c r="D27" s="6">
        <f>SUM(C27)*12</f>
        <v>30000</v>
      </c>
      <c r="E27" s="2"/>
      <c r="F27" s="55" t="s">
        <v>155</v>
      </c>
    </row>
    <row r="28" spans="1:7" x14ac:dyDescent="0.25">
      <c r="A28" s="1" t="s">
        <v>110</v>
      </c>
      <c r="B28" s="2" t="s">
        <v>75</v>
      </c>
      <c r="C28" s="6">
        <v>5000</v>
      </c>
      <c r="D28" s="6">
        <f>SUM(C28)*12</f>
        <v>60000</v>
      </c>
      <c r="E28" s="2"/>
      <c r="F28" s="55" t="s">
        <v>80</v>
      </c>
      <c r="G28" s="44"/>
    </row>
    <row r="29" spans="1:7" x14ac:dyDescent="0.25">
      <c r="A29" s="1" t="s">
        <v>111</v>
      </c>
      <c r="B29" s="2" t="s">
        <v>60</v>
      </c>
      <c r="C29" s="6">
        <v>18750</v>
      </c>
      <c r="D29" s="6">
        <f>SUM(C29)*12</f>
        <v>225000</v>
      </c>
      <c r="E29" s="2"/>
      <c r="F29" s="55" t="s">
        <v>80</v>
      </c>
    </row>
    <row r="30" spans="1:7" ht="105" x14ac:dyDescent="0.25">
      <c r="A30" s="1" t="s">
        <v>112</v>
      </c>
      <c r="B30" s="2" t="s">
        <v>42</v>
      </c>
      <c r="C30" s="6">
        <f>SUM(C26)*30.2%</f>
        <v>43710.120999999999</v>
      </c>
      <c r="D30" s="6">
        <f>SUM(D26)*30.2%</f>
        <v>524521.45199999993</v>
      </c>
      <c r="E30" s="2"/>
      <c r="F30" s="2" t="s">
        <v>141</v>
      </c>
    </row>
    <row r="31" spans="1:7" ht="30" x14ac:dyDescent="0.25">
      <c r="A31" s="1" t="s">
        <v>113</v>
      </c>
      <c r="B31" s="2" t="s">
        <v>19</v>
      </c>
      <c r="C31" s="6">
        <v>215710</v>
      </c>
      <c r="D31" s="6">
        <f t="shared" ref="D31:D36" si="0">SUM(C31)*12</f>
        <v>2588520</v>
      </c>
      <c r="E31" s="2" t="s">
        <v>91</v>
      </c>
      <c r="F31" s="2" t="s">
        <v>149</v>
      </c>
      <c r="G31" s="52"/>
    </row>
    <row r="32" spans="1:7" ht="75" x14ac:dyDescent="0.25">
      <c r="A32" s="1" t="s">
        <v>114</v>
      </c>
      <c r="B32" s="2" t="s">
        <v>20</v>
      </c>
      <c r="C32" s="6">
        <v>21100.9783333333</v>
      </c>
      <c r="D32" s="6">
        <f t="shared" si="0"/>
        <v>253211.73999999958</v>
      </c>
      <c r="E32" s="2" t="s">
        <v>72</v>
      </c>
      <c r="F32" s="2" t="s">
        <v>156</v>
      </c>
      <c r="G32" s="53"/>
    </row>
    <row r="33" spans="1:7" ht="53.25" customHeight="1" x14ac:dyDescent="0.25">
      <c r="A33" s="1" t="s">
        <v>115</v>
      </c>
      <c r="B33" s="2" t="s">
        <v>29</v>
      </c>
      <c r="C33" s="6">
        <v>197000</v>
      </c>
      <c r="D33" s="6">
        <f t="shared" si="0"/>
        <v>2364000</v>
      </c>
      <c r="E33" s="2"/>
      <c r="F33" s="88" t="s">
        <v>157</v>
      </c>
      <c r="G33" s="48"/>
    </row>
    <row r="34" spans="1:7" ht="53.25" customHeight="1" x14ac:dyDescent="0.25">
      <c r="A34" s="1" t="s">
        <v>116</v>
      </c>
      <c r="B34" s="2" t="s">
        <v>30</v>
      </c>
      <c r="C34" s="6">
        <v>22500</v>
      </c>
      <c r="D34" s="6">
        <f>SUM(C34)*12</f>
        <v>270000</v>
      </c>
      <c r="E34" s="2"/>
      <c r="F34" s="89"/>
    </row>
    <row r="35" spans="1:7" ht="60" x14ac:dyDescent="0.25">
      <c r="A35" s="1" t="s">
        <v>117</v>
      </c>
      <c r="B35" s="2" t="s">
        <v>54</v>
      </c>
      <c r="C35" s="6">
        <v>19640</v>
      </c>
      <c r="D35" s="6">
        <f t="shared" si="0"/>
        <v>235680</v>
      </c>
      <c r="E35" s="2" t="s">
        <v>16</v>
      </c>
      <c r="F35" s="2" t="s">
        <v>158</v>
      </c>
    </row>
    <row r="36" spans="1:7" ht="45" x14ac:dyDescent="0.25">
      <c r="A36" s="1" t="s">
        <v>118</v>
      </c>
      <c r="B36" s="2" t="s">
        <v>24</v>
      </c>
      <c r="C36" s="6">
        <v>13333.333333333299</v>
      </c>
      <c r="D36" s="6">
        <f t="shared" si="0"/>
        <v>159999.99999999959</v>
      </c>
      <c r="E36" s="55" t="s">
        <v>160</v>
      </c>
      <c r="F36" s="55" t="s">
        <v>159</v>
      </c>
      <c r="G36" s="47"/>
    </row>
    <row r="37" spans="1:7" ht="30" x14ac:dyDescent="0.25">
      <c r="A37" s="1" t="s">
        <v>119</v>
      </c>
      <c r="B37" s="42" t="s">
        <v>77</v>
      </c>
      <c r="C37" s="6">
        <v>4100</v>
      </c>
      <c r="D37" s="6">
        <f>SUM(C37)*12</f>
        <v>49200</v>
      </c>
      <c r="E37" s="2" t="s">
        <v>79</v>
      </c>
      <c r="F37" s="2" t="s">
        <v>78</v>
      </c>
      <c r="G37" s="48"/>
    </row>
    <row r="38" spans="1:7" ht="90" x14ac:dyDescent="0.25">
      <c r="A38" s="37" t="s">
        <v>120</v>
      </c>
      <c r="B38" s="36" t="s">
        <v>28</v>
      </c>
      <c r="C38" s="6">
        <v>8800</v>
      </c>
      <c r="D38" s="6">
        <f>SUM(C38)*12</f>
        <v>105600</v>
      </c>
      <c r="E38" s="55" t="s">
        <v>161</v>
      </c>
      <c r="F38" s="55" t="s">
        <v>162</v>
      </c>
    </row>
    <row r="39" spans="1:7" x14ac:dyDescent="0.25">
      <c r="A39" s="2"/>
      <c r="B39" s="3" t="s">
        <v>11</v>
      </c>
      <c r="C39" s="5">
        <f>SUM(C22:C38)</f>
        <v>750692.31599999988</v>
      </c>
      <c r="D39" s="5">
        <f>SUM(D22:D38)</f>
        <v>9008307.7919999994</v>
      </c>
      <c r="E39" s="3"/>
      <c r="F39" s="3"/>
    </row>
    <row r="40" spans="1:7" x14ac:dyDescent="0.25">
      <c r="A40" s="31"/>
      <c r="B40" s="31" t="s">
        <v>55</v>
      </c>
      <c r="C40" s="5">
        <f>SUM(C17,C39)</f>
        <v>1012618.0129999665</v>
      </c>
      <c r="D40" s="5">
        <f>SUM(D17,D39)</f>
        <v>12151416.155999599</v>
      </c>
      <c r="E40" s="3"/>
      <c r="F40" s="3"/>
    </row>
    <row r="42" spans="1:7" x14ac:dyDescent="0.25">
      <c r="A42" s="85" t="s">
        <v>121</v>
      </c>
      <c r="B42" s="85"/>
      <c r="C42" s="85"/>
      <c r="D42" s="85"/>
      <c r="E42" s="85"/>
      <c r="F42" s="85"/>
    </row>
    <row r="44" spans="1:7" x14ac:dyDescent="0.25">
      <c r="A44" s="2" t="s">
        <v>0</v>
      </c>
      <c r="B44" s="2" t="s">
        <v>1</v>
      </c>
      <c r="C44" s="2" t="s">
        <v>2</v>
      </c>
      <c r="D44" s="2" t="s">
        <v>3</v>
      </c>
      <c r="E44" s="2" t="s">
        <v>15</v>
      </c>
      <c r="F44" s="2" t="s">
        <v>14</v>
      </c>
    </row>
    <row r="45" spans="1:7" ht="45" x14ac:dyDescent="0.25">
      <c r="A45" s="1" t="s">
        <v>13</v>
      </c>
      <c r="B45" s="2" t="s">
        <v>25</v>
      </c>
      <c r="C45" s="6">
        <v>7922.88</v>
      </c>
      <c r="D45" s="6">
        <f>SUM(C45)*12</f>
        <v>95074.559999999998</v>
      </c>
      <c r="E45" s="2" t="s">
        <v>26</v>
      </c>
      <c r="F45" s="2" t="s">
        <v>163</v>
      </c>
      <c r="G45" s="47"/>
    </row>
    <row r="46" spans="1:7" x14ac:dyDescent="0.25">
      <c r="A46" s="3"/>
      <c r="B46" s="3" t="s">
        <v>11</v>
      </c>
      <c r="C46" s="5">
        <f>SUM(C45:C45)</f>
        <v>7922.88</v>
      </c>
      <c r="D46" s="5">
        <f>SUM(D45:D45)</f>
        <v>95074.559999999998</v>
      </c>
      <c r="E46" s="3"/>
      <c r="F46" s="3"/>
    </row>
    <row r="47" spans="1:7" ht="30" x14ac:dyDescent="0.25">
      <c r="A47" s="33"/>
      <c r="B47" s="3" t="s">
        <v>127</v>
      </c>
      <c r="C47" s="5">
        <f>SUM(C46,C40)</f>
        <v>1020540.8929999665</v>
      </c>
      <c r="D47" s="5">
        <f>SUM(D46,D40)</f>
        <v>12246490.7159996</v>
      </c>
      <c r="E47" s="3"/>
      <c r="F47" s="3"/>
    </row>
    <row r="48" spans="1:7" ht="39" customHeight="1" x14ac:dyDescent="0.25"/>
    <row r="49" spans="1:6" x14ac:dyDescent="0.25">
      <c r="A49" s="85" t="s">
        <v>122</v>
      </c>
      <c r="B49" s="85"/>
      <c r="C49" s="85"/>
      <c r="D49" s="85"/>
      <c r="E49" s="85"/>
      <c r="F49" s="85"/>
    </row>
    <row r="51" spans="1:6" x14ac:dyDescent="0.25">
      <c r="A51" s="7" t="s">
        <v>0</v>
      </c>
      <c r="B51" s="7" t="s">
        <v>1</v>
      </c>
      <c r="C51" s="7" t="s">
        <v>2</v>
      </c>
      <c r="D51" s="7" t="s">
        <v>3</v>
      </c>
      <c r="E51" s="7" t="s">
        <v>15</v>
      </c>
      <c r="F51" s="7" t="s">
        <v>14</v>
      </c>
    </row>
    <row r="52" spans="1:6" ht="60" x14ac:dyDescent="0.25">
      <c r="A52" s="1" t="s">
        <v>56</v>
      </c>
      <c r="B52" s="2" t="s">
        <v>23</v>
      </c>
      <c r="C52" s="6">
        <f>SUM(Исполнение!U38)</f>
        <v>62847.399999999972</v>
      </c>
      <c r="D52" s="6">
        <f>SUM(C52)*12</f>
        <v>754168.7999999997</v>
      </c>
      <c r="E52" s="2" t="s">
        <v>132</v>
      </c>
      <c r="F52" s="2" t="s">
        <v>170</v>
      </c>
    </row>
    <row r="53" spans="1:6" ht="45" x14ac:dyDescent="0.25">
      <c r="A53" s="1" t="s">
        <v>123</v>
      </c>
      <c r="B53" s="2" t="s">
        <v>33</v>
      </c>
      <c r="C53" s="6">
        <f>SUM(Исполнение!U39)</f>
        <v>4010.6936000000001</v>
      </c>
      <c r="D53" s="6">
        <f>SUM(C53)*12</f>
        <v>48128.323199999999</v>
      </c>
      <c r="E53" s="2" t="s">
        <v>35</v>
      </c>
      <c r="F53" s="2" t="s">
        <v>166</v>
      </c>
    </row>
    <row r="54" spans="1:6" ht="45" x14ac:dyDescent="0.25">
      <c r="A54" s="1" t="s">
        <v>124</v>
      </c>
      <c r="B54" s="2" t="s">
        <v>45</v>
      </c>
      <c r="C54" s="6">
        <f>SUM(Исполнение!U40+Исполнение!U41)</f>
        <v>42930.964800000002</v>
      </c>
      <c r="D54" s="6">
        <f>SUM(C54)*12</f>
        <v>515171.57760000002</v>
      </c>
      <c r="E54" s="2" t="s">
        <v>34</v>
      </c>
      <c r="F54" s="2" t="s">
        <v>167</v>
      </c>
    </row>
    <row r="55" spans="1:6" ht="60" x14ac:dyDescent="0.25">
      <c r="A55" s="1" t="s">
        <v>125</v>
      </c>
      <c r="B55" s="2" t="s">
        <v>32</v>
      </c>
      <c r="C55" s="6">
        <f>SUM(Исполнение!U42+Исполнение!U43)</f>
        <v>40688.530999999995</v>
      </c>
      <c r="D55" s="6">
        <f>SUM(C55)*12</f>
        <v>488262.37199999997</v>
      </c>
      <c r="E55" s="2" t="s">
        <v>36</v>
      </c>
      <c r="F55" s="2" t="s">
        <v>168</v>
      </c>
    </row>
    <row r="56" spans="1:6" ht="30" x14ac:dyDescent="0.25">
      <c r="A56" s="32"/>
      <c r="B56" s="30" t="s">
        <v>131</v>
      </c>
      <c r="C56" s="5">
        <f>SUM(C52:C55)</f>
        <v>150477.58939999997</v>
      </c>
      <c r="D56" s="5">
        <f>SUM(D52:D55)</f>
        <v>1805731.0727999997</v>
      </c>
      <c r="E56" s="3"/>
      <c r="F56" s="3"/>
    </row>
    <row r="57" spans="1:6" ht="30" x14ac:dyDescent="0.25">
      <c r="A57" s="33"/>
      <c r="B57" s="3" t="s">
        <v>128</v>
      </c>
      <c r="C57" s="5">
        <f>SUM(C56,C47)</f>
        <v>1171018.4823999666</v>
      </c>
      <c r="D57" s="5">
        <f>SUM(D56,D47)</f>
        <v>14052221.788799599</v>
      </c>
      <c r="E57" s="3"/>
      <c r="F57" s="3"/>
    </row>
    <row r="58" spans="1:6" ht="36.75" customHeight="1" x14ac:dyDescent="0.25"/>
    <row r="59" spans="1:6" x14ac:dyDescent="0.25">
      <c r="A59" s="85" t="s">
        <v>126</v>
      </c>
      <c r="B59" s="85"/>
      <c r="C59" s="85"/>
      <c r="D59" s="85"/>
      <c r="E59" s="85"/>
      <c r="F59" s="85"/>
    </row>
    <row r="61" spans="1:6" x14ac:dyDescent="0.25">
      <c r="A61" s="2" t="s">
        <v>0</v>
      </c>
      <c r="B61" s="2" t="s">
        <v>1</v>
      </c>
      <c r="C61" s="2" t="s">
        <v>2</v>
      </c>
      <c r="D61" s="2" t="s">
        <v>3</v>
      </c>
      <c r="E61" s="2" t="s">
        <v>15</v>
      </c>
      <c r="F61" s="2" t="s">
        <v>14</v>
      </c>
    </row>
    <row r="62" spans="1:6" ht="90" x14ac:dyDescent="0.25">
      <c r="A62" s="37" t="s">
        <v>57</v>
      </c>
      <c r="B62" s="36" t="s">
        <v>31</v>
      </c>
      <c r="C62" s="6">
        <f>SUM(Исполнение!U50)</f>
        <v>129670.59750000002</v>
      </c>
      <c r="D62" s="6">
        <f>SUM(C62)*12</f>
        <v>1556047.1700000002</v>
      </c>
      <c r="E62" s="2"/>
      <c r="F62" s="2" t="s">
        <v>169</v>
      </c>
    </row>
    <row r="63" spans="1:6" ht="45" x14ac:dyDescent="0.25">
      <c r="A63" s="34"/>
      <c r="B63" s="3" t="s">
        <v>129</v>
      </c>
      <c r="C63" s="5">
        <f>SUM(C59:C62)</f>
        <v>129670.59750000002</v>
      </c>
      <c r="D63" s="5">
        <f>SUM(D59:D62)</f>
        <v>1556047.1700000002</v>
      </c>
      <c r="E63" s="3"/>
      <c r="F63" s="3"/>
    </row>
    <row r="64" spans="1:6" x14ac:dyDescent="0.25">
      <c r="A64" s="35"/>
      <c r="B64" s="3" t="s">
        <v>130</v>
      </c>
      <c r="C64" s="5">
        <f>SUM(C63,C57)</f>
        <v>1300689.0798999665</v>
      </c>
      <c r="D64" s="5">
        <f>SUM(D63,D57)</f>
        <v>15608268.958799599</v>
      </c>
      <c r="E64" s="3"/>
      <c r="F64" s="3"/>
    </row>
    <row r="65" ht="15" customHeight="1" x14ac:dyDescent="0.25"/>
    <row r="71" ht="15" customHeight="1" x14ac:dyDescent="0.25"/>
  </sheetData>
  <mergeCells count="10">
    <mergeCell ref="J12:M12"/>
    <mergeCell ref="A49:F49"/>
    <mergeCell ref="A59:F59"/>
    <mergeCell ref="A1:F1"/>
    <mergeCell ref="A3:F3"/>
    <mergeCell ref="A5:F5"/>
    <mergeCell ref="A19:F19"/>
    <mergeCell ref="A42:F42"/>
    <mergeCell ref="F33:F34"/>
    <mergeCell ref="A6:F6"/>
  </mergeCells>
  <phoneticPr fontId="6" type="noConversion"/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Исполнение</vt:lpstr>
      <vt:lpstr>План</vt:lpstr>
    </vt:vector>
  </TitlesOfParts>
  <Company>Zvezda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Vladislav Markov</cp:lastModifiedBy>
  <cp:lastPrinted>2024-09-11T12:41:08Z</cp:lastPrinted>
  <dcterms:created xsi:type="dcterms:W3CDTF">2014-05-22T15:03:02Z</dcterms:created>
  <dcterms:modified xsi:type="dcterms:W3CDTF">2026-03-09T13:40:51Z</dcterms:modified>
</cp:coreProperties>
</file>